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320" windowHeight="7230" tabRatio="845"/>
  </bookViews>
  <sheets>
    <sheet name="Центральная дом № 4а" sheetId="3" r:id="rId1"/>
    <sheet name="ремонт Центральная 4а" sheetId="2" r:id="rId2"/>
    <sheet name="статьи Центр 4а" sheetId="4" r:id="rId3"/>
    <sheet name="упр Центр 4а" sheetId="1" r:id="rId4"/>
    <sheet name="ресурсы Центр дом № 4а" sheetId="5" r:id="rId5"/>
  </sheets>
  <calcPr calcId="125725"/>
</workbook>
</file>

<file path=xl/calcChain.xml><?xml version="1.0" encoding="utf-8"?>
<calcChain xmlns="http://schemas.openxmlformats.org/spreadsheetml/2006/main">
  <c r="N43" i="5"/>
  <c r="N39"/>
  <c r="N35"/>
  <c r="N31"/>
  <c r="N27"/>
  <c r="N21"/>
  <c r="M17"/>
  <c r="L17"/>
  <c r="K17"/>
  <c r="H17"/>
  <c r="G17"/>
  <c r="F17"/>
  <c r="N17" s="1"/>
  <c r="M13"/>
  <c r="L13"/>
  <c r="K13"/>
  <c r="J13"/>
  <c r="I13"/>
  <c r="H13"/>
  <c r="G13"/>
  <c r="F13"/>
  <c r="E13"/>
  <c r="D13"/>
  <c r="C13"/>
  <c r="B13"/>
  <c r="N13" s="1"/>
  <c r="M9"/>
  <c r="L9"/>
  <c r="K9"/>
  <c r="J9"/>
  <c r="I9"/>
  <c r="H9"/>
  <c r="G9"/>
  <c r="F9"/>
  <c r="E9"/>
  <c r="D9"/>
  <c r="C9"/>
  <c r="B9"/>
  <c r="N9" s="1"/>
  <c r="M5"/>
  <c r="L5"/>
  <c r="K5"/>
  <c r="J5"/>
  <c r="I5"/>
  <c r="H5"/>
  <c r="G5"/>
  <c r="C5"/>
  <c r="B5"/>
  <c r="N5" s="1"/>
  <c r="F29" i="2" l="1"/>
  <c r="F24" l="1"/>
  <c r="F25" s="1"/>
  <c r="F27" s="1"/>
  <c r="F20"/>
  <c r="F13"/>
  <c r="F14" s="1"/>
  <c r="F15" s="1"/>
  <c r="F16" s="1"/>
  <c r="F9"/>
  <c r="N34" i="1"/>
  <c r="O34" s="1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M10"/>
  <c r="L10"/>
  <c r="K10"/>
  <c r="J10"/>
  <c r="I10"/>
  <c r="H10"/>
  <c r="G10"/>
  <c r="F10"/>
  <c r="E10"/>
  <c r="D10"/>
  <c r="C10"/>
  <c r="B10"/>
  <c r="N9"/>
  <c r="O9" s="1"/>
  <c r="N8"/>
  <c r="O8" s="1"/>
  <c r="N7"/>
  <c r="M6"/>
  <c r="L6"/>
  <c r="K6"/>
  <c r="J6"/>
  <c r="I6"/>
  <c r="H6"/>
  <c r="G6"/>
  <c r="F6"/>
  <c r="E6"/>
  <c r="D6"/>
  <c r="C6"/>
  <c r="B6"/>
  <c r="T38" i="4"/>
  <c r="F38" i="3"/>
  <c r="G38" s="1"/>
  <c r="F21" i="2" l="1"/>
  <c r="F28" s="1"/>
  <c r="O7" i="1"/>
  <c r="N10"/>
  <c r="N6" s="1"/>
  <c r="O11"/>
  <c r="O10" s="1"/>
  <c r="O6" l="1"/>
  <c r="G13" i="3" l="1"/>
  <c r="G51" l="1"/>
  <c r="F51"/>
  <c r="E51"/>
  <c r="G49"/>
  <c r="F49"/>
  <c r="E49"/>
  <c r="G48"/>
  <c r="F48"/>
  <c r="E48"/>
  <c r="D47"/>
  <c r="F47" s="1"/>
  <c r="C47"/>
  <c r="E47" s="1"/>
  <c r="B47"/>
  <c r="G47" s="1"/>
  <c r="G45"/>
  <c r="F45"/>
  <c r="E45"/>
  <c r="G44"/>
  <c r="F44"/>
  <c r="E44"/>
  <c r="D43"/>
  <c r="F43" s="1"/>
  <c r="C43"/>
  <c r="C52" s="1"/>
  <c r="B43"/>
  <c r="G43" s="1"/>
  <c r="E11"/>
  <c r="E14" s="1"/>
  <c r="E15" s="1"/>
  <c r="E10"/>
  <c r="E9"/>
  <c r="E43" l="1"/>
  <c r="E52" s="1"/>
  <c r="G52"/>
  <c r="E12" s="1"/>
  <c r="E13" s="1"/>
  <c r="B52"/>
  <c r="D52"/>
  <c r="F52" s="1"/>
  <c r="O35" i="1" l="1"/>
  <c r="N35"/>
</calcChain>
</file>

<file path=xl/sharedStrings.xml><?xml version="1.0" encoding="utf-8"?>
<sst xmlns="http://schemas.openxmlformats.org/spreadsheetml/2006/main" count="366" uniqueCount="175">
  <si>
    <t>д. Нифантово,  ул. Центральная дом № 4а</t>
  </si>
  <si>
    <t>площадь дома</t>
  </si>
  <si>
    <t>кв. м.</t>
  </si>
  <si>
    <t>СТАТЬИ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</si>
  <si>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</si>
  <si>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</si>
  <si>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</si>
  <si>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</si>
  <si>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</si>
  <si>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</si>
  <si>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</si>
  <si>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</si>
  <si>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</si>
  <si>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</si>
  <si>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</si>
  <si>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</si>
  <si>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</si>
  <si>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на 1 кв. м. в месяц</t>
  </si>
  <si>
    <t>Управление многоквартирным домом</t>
  </si>
  <si>
    <t>оплата труда+ЕСН</t>
  </si>
  <si>
    <t>оплата труда</t>
  </si>
  <si>
    <t>ЕСН</t>
  </si>
  <si>
    <t>прочее</t>
  </si>
  <si>
    <t>в т. ч. электрики</t>
  </si>
  <si>
    <t>СБ-Сервис</t>
  </si>
  <si>
    <t>ООО Консультантово</t>
  </si>
  <si>
    <t>ОАО Ростелеком</t>
  </si>
  <si>
    <t>ООО Артол</t>
  </si>
  <si>
    <t>ОАО Мобильные телесистемы</t>
  </si>
  <si>
    <t>ООО Домофон</t>
  </si>
  <si>
    <t>Охрана</t>
  </si>
  <si>
    <t>НП СРО ЖКХ "МОУК"</t>
  </si>
  <si>
    <t>ООО Дженерал Ай-Ти (заправка катриджей)</t>
  </si>
  <si>
    <t>ОАО Шексна-Водоканал водосн 3-1</t>
  </si>
  <si>
    <t>Транспортные расходы</t>
  </si>
  <si>
    <t>аренда помещения</t>
  </si>
  <si>
    <t>Редакция газеты Звезда,  авансовый</t>
  </si>
  <si>
    <t>заказные уведомления, конверты по авансовым</t>
  </si>
  <si>
    <t>Канцтовары,сантехника</t>
  </si>
  <si>
    <t>налоги : за выбросы (экология)</t>
  </si>
  <si>
    <t>налоги : НДС (за аренду)</t>
  </si>
  <si>
    <t>Многоквартирный дом по адресу: д. Нифантово, ул. Центральная, дом 4а</t>
  </si>
  <si>
    <t xml:space="preserve">ОТЧЕТ </t>
  </si>
  <si>
    <t xml:space="preserve">управляющей организации ООО "Жилкомсервис" </t>
  </si>
  <si>
    <t>руб.</t>
  </si>
  <si>
    <t>Наименование услуг</t>
  </si>
  <si>
    <t>итого затрат</t>
  </si>
  <si>
    <t>на 1 м2</t>
  </si>
  <si>
    <t>площадь, кв. м.</t>
  </si>
  <si>
    <t>Содержание лестничных клеток</t>
  </si>
  <si>
    <t>Содержание придомовой территории</t>
  </si>
  <si>
    <t>Обслуживание внутридомовых электрических сетей</t>
  </si>
  <si>
    <t>Содержание общедомового инженерного оборудования</t>
  </si>
  <si>
    <t>Содержание конструктивных элементов здания</t>
  </si>
  <si>
    <t>ВДГО</t>
  </si>
  <si>
    <t>дератизация и дезинсекция</t>
  </si>
  <si>
    <t>Сбор и вывоз ТБО</t>
  </si>
  <si>
    <t>Материальные затраты на ремонт</t>
  </si>
  <si>
    <t xml:space="preserve">ИТОГО </t>
  </si>
  <si>
    <t>налог УСНО 1%</t>
  </si>
  <si>
    <t>ИТОГО ЗАТРАТ</t>
  </si>
  <si>
    <t>Услуги по обслуживанию и ремонту общего имущества МКД, в том числе: </t>
  </si>
  <si>
    <t>вид работ</t>
  </si>
  <si>
    <t>объём работ</t>
  </si>
  <si>
    <t>стоимость, руб</t>
  </si>
  <si>
    <t xml:space="preserve">Итого выполнено ремонтов </t>
  </si>
  <si>
    <t>СОБРАНО СРЕДСТВ НА ОПЛАТУ ПРЕДОСТАВЛЕННЫХ КОММУНАЛЬНЫХ УСЛУГ </t>
  </si>
  <si>
    <t>задолженность на 01.01.2015г</t>
  </si>
  <si>
    <t xml:space="preserve">начислено </t>
  </si>
  <si>
    <t xml:space="preserve">собрано </t>
  </si>
  <si>
    <t>долг</t>
  </si>
  <si>
    <t>% сбора</t>
  </si>
  <si>
    <t xml:space="preserve">холодное водоснабжение  </t>
  </si>
  <si>
    <t xml:space="preserve">водоотведение  </t>
  </si>
  <si>
    <t xml:space="preserve">отопление      </t>
  </si>
  <si>
    <t xml:space="preserve"> горячее водоснабжение   </t>
  </si>
  <si>
    <r>
      <rPr>
        <b/>
        <sz val="10"/>
        <color theme="1"/>
        <rFont val="Arial Cyr"/>
        <family val="2"/>
        <charset val="204"/>
      </rPr>
      <t xml:space="preserve">ОАО "Вологодская сбытовая компания" </t>
    </r>
    <r>
      <rPr>
        <sz val="10"/>
        <color theme="1"/>
        <rFont val="Arial Cyr"/>
        <family val="2"/>
        <charset val="204"/>
      </rPr>
      <t>элек-я МОП</t>
    </r>
  </si>
  <si>
    <t>ВСЕГО</t>
  </si>
  <si>
    <t>Директор ООО "Жилкомсервис"</t>
  </si>
  <si>
    <t>Т.Н. Александрова</t>
  </si>
  <si>
    <t>д. Нифантово, ул. Центральная, дом № 4а</t>
  </si>
  <si>
    <t xml:space="preserve">                     в т.ч. оплата труда+ЕСН</t>
  </si>
  <si>
    <t xml:space="preserve">                     спецодежда и инвентарь</t>
  </si>
  <si>
    <t xml:space="preserve">                     прочие</t>
  </si>
  <si>
    <t>дератизация и дезинфекция</t>
  </si>
  <si>
    <t xml:space="preserve">                     сторонние организации</t>
  </si>
  <si>
    <t xml:space="preserve">                                          прочее</t>
  </si>
  <si>
    <t>Материалы на текущий ремонт</t>
  </si>
  <si>
    <t>1 кв 15</t>
  </si>
  <si>
    <t>2 кв 15г</t>
  </si>
  <si>
    <t>6 мес 15г</t>
  </si>
  <si>
    <t>3 кв 15</t>
  </si>
  <si>
    <t>9 месяцев 15</t>
  </si>
  <si>
    <t>4 кв 15</t>
  </si>
  <si>
    <t>2015 год</t>
  </si>
  <si>
    <t xml:space="preserve"> ПОДОМОВОЙ УЧЁТ 2015 ГОД</t>
  </si>
  <si>
    <t>расшифровка статьи: управление многоквартирным домом в подомовом учёте 2015 года</t>
  </si>
  <si>
    <t>по представленным услугам/работам по управлению, содержанию и  ремонту общего имущества многоквартирного дома и коммунальным услугам                                                                                            за период с 01.01.2015 по 31.12.2015 </t>
  </si>
  <si>
    <t>Задолженность за содержание и ремонт общедомового имущества  на 01.01.2015г</t>
  </si>
  <si>
    <t xml:space="preserve"> Начислено за содержание и ремонт общедомового имущества  в 2015г</t>
  </si>
  <si>
    <t>Собрано за содержание и ремонт общедомового имущества в 2015г</t>
  </si>
  <si>
    <t xml:space="preserve">  процент сбора в 2015 г</t>
  </si>
  <si>
    <t>Задолженность за содержание и ремонт общедомового имущества на 01.01.2016г.</t>
  </si>
  <si>
    <t>Израсходовано денежных средств за 2015 год</t>
  </si>
  <si>
    <t>Задолженность за коммунальные услуги (тепло, гор. и хол. вода, стоки) на 01.01.2016г.</t>
  </si>
  <si>
    <t>Общая задолженность за содержание и ремонт общедомового имущества  и коммунальные услуги на 01.01.2016г.</t>
  </si>
  <si>
    <t>За 2015 год:  собрано за содержание и ремонт общедомового имущества - израсходовано денежных средств</t>
  </si>
  <si>
    <t>За 2011-2015 год: собрано за содержание и ремонт общедомового имущества - израсходовано денежных средств</t>
  </si>
  <si>
    <t>утвержд. тариф на 2015г.</t>
  </si>
  <si>
    <t>Факт 2015 год, руб.</t>
  </si>
  <si>
    <t>задолженность на 01.01.2016г</t>
  </si>
  <si>
    <t>ООО НЦ Команда (кассовый аппарат)</t>
  </si>
  <si>
    <t>ОАО Шексна-Теплосеть, Газпром отопл 3-1</t>
  </si>
  <si>
    <t>ЧОУ ВОПФ уч-метод центр, ФГАОУ ВО СПбПУ, АНО Щит</t>
  </si>
  <si>
    <t>компания Тензор (програмное обеспечение)</t>
  </si>
  <si>
    <t>БУ ВО Центр информац технологий</t>
  </si>
  <si>
    <t xml:space="preserve">госпошлина на лицензирование </t>
  </si>
  <si>
    <t>ООО"Жилкомсервис" ремонты</t>
  </si>
  <si>
    <t>за   2015 г.</t>
  </si>
  <si>
    <t xml:space="preserve"> </t>
  </si>
  <si>
    <t>период</t>
  </si>
  <si>
    <t>материал</t>
  </si>
  <si>
    <t>кол</t>
  </si>
  <si>
    <t>ед. изм</t>
  </si>
  <si>
    <t>Сумма</t>
  </si>
  <si>
    <t>март 2015г</t>
  </si>
  <si>
    <t>х</t>
  </si>
  <si>
    <t>1 квартал 2015г</t>
  </si>
  <si>
    <t>апрель 2015г</t>
  </si>
  <si>
    <t>май 2015г</t>
  </si>
  <si>
    <t>июнь 2015г</t>
  </si>
  <si>
    <t>2 квартал 2015г</t>
  </si>
  <si>
    <t>6 месяцев 2015г</t>
  </si>
  <si>
    <t>июль 2015г</t>
  </si>
  <si>
    <t>август 2015г</t>
  </si>
  <si>
    <t>сентябрь 2015г</t>
  </si>
  <si>
    <t>Ремонт системы отопления</t>
  </si>
  <si>
    <t>итого по ремонту системы отопления</t>
  </si>
  <si>
    <t>3 квартал 2015г</t>
  </si>
  <si>
    <t>октябрь 2015г</t>
  </si>
  <si>
    <t>ноябрь 2015г</t>
  </si>
  <si>
    <t>декабрь 2015г</t>
  </si>
  <si>
    <t>4 квартал 2015г</t>
  </si>
  <si>
    <t xml:space="preserve"> 2015г</t>
  </si>
  <si>
    <t xml:space="preserve">Общедомовой прибор учета тепловой энергии </t>
  </si>
  <si>
    <t>итого по общедомовомуй прибору учета тепловой энергии</t>
  </si>
  <si>
    <t>январь 2015г</t>
  </si>
  <si>
    <t>февраль 2015г</t>
  </si>
  <si>
    <t>ул. Центральная д. № 4а</t>
  </si>
  <si>
    <t xml:space="preserve"> прибор учёта тепла Центральная 4а</t>
  </si>
  <si>
    <t>9 месяцев 2015г</t>
  </si>
  <si>
    <t>фланец Ду 25</t>
  </si>
  <si>
    <t xml:space="preserve">Установка общедомового прибора учета тепловой энергии </t>
  </si>
  <si>
    <t>1 шт</t>
  </si>
  <si>
    <t>2 фланца</t>
  </si>
  <si>
    <t>ООО "Шекснинский бройлер",        ОАО "Шексна-Водоканал" всего</t>
  </si>
  <si>
    <t xml:space="preserve">ООО Газпром теплоэнерго Вологда, ОАО "Шексна-Теплосеть"  всего </t>
  </si>
  <si>
    <t>Выставлено Гкал в 2011- 2015 году организацией ОАО Шексна-Теплосеть" ООО "Жилкомсервис" (по данным счетов-фактур)</t>
  </si>
  <si>
    <t>2011 год</t>
  </si>
  <si>
    <t>адрес</t>
  </si>
  <si>
    <t>выставлено по счётам ОАО "Шексна-Теплосеть", Гкал</t>
  </si>
  <si>
    <t>итого за 2011г</t>
  </si>
  <si>
    <t>д. Нифантово, ул. Центральная дом № 4а</t>
  </si>
  <si>
    <t>2012 год</t>
  </si>
  <si>
    <t>итого за 2012г</t>
  </si>
  <si>
    <t>2013 год</t>
  </si>
  <si>
    <t>итого за 2013г</t>
  </si>
  <si>
    <t>2014 год</t>
  </si>
  <si>
    <t>итого за 2014г</t>
  </si>
  <si>
    <t>выставлено по счётам ОАО "Шексна-Теплосеть", ООО "Газпром теплоэнерго Вологда, Гкал</t>
  </si>
  <si>
    <t>итого за 2015г</t>
  </si>
  <si>
    <t>Выставлено Гкал в 2011- 2015 году организацией ОАО Шексна-Водоканал" ООО "Жилкомсервис" (по данным счетов-фактур)</t>
  </si>
  <si>
    <t>выставлено по счётам ОАО "Шексна-Водоканал", куб. м.</t>
  </si>
  <si>
    <t>выставлено по счётам ОАО "Шексна-Водоканал", ООО "Шекснинский бройлер" куб. м.</t>
  </si>
  <si>
    <t>Директор ООО "Жилкомсервис"                                                                                Т. Н. Александрова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</si>
</sst>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%"/>
    <numFmt numFmtId="165" formatCode="0.00;[Red]\-0.00"/>
    <numFmt numFmtId="166" formatCode="#,##0.00;[Red]\-#,##0.00"/>
    <numFmt numFmtId="167" formatCode="0.000"/>
    <numFmt numFmtId="168" formatCode="0.0"/>
  </numFmts>
  <fonts count="3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Cyr"/>
      <family val="2"/>
      <charset val="204"/>
    </font>
    <font>
      <b/>
      <sz val="12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Arial Cyr"/>
      <family val="2"/>
      <charset val="204"/>
    </font>
    <font>
      <b/>
      <sz val="11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9"/>
      <color theme="0"/>
      <name val="Arial Cyr"/>
      <family val="2"/>
      <charset val="204"/>
    </font>
    <font>
      <b/>
      <sz val="9"/>
      <color theme="0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8"/>
      <color theme="1"/>
      <name val="Arial Cyr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0" fontId="5" fillId="0" borderId="0"/>
    <xf numFmtId="0" fontId="12" fillId="0" borderId="0"/>
    <xf numFmtId="0" fontId="4" fillId="0" borderId="0"/>
    <xf numFmtId="0" fontId="3" fillId="0" borderId="0"/>
    <xf numFmtId="0" fontId="1" fillId="0" borderId="0"/>
  </cellStyleXfs>
  <cellXfs count="180">
    <xf numFmtId="0" fontId="0" fillId="0" borderId="0" xfId="0"/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right" vertical="center"/>
    </xf>
    <xf numFmtId="2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6" xfId="0" applyFont="1" applyBorder="1"/>
    <xf numFmtId="2" fontId="10" fillId="0" borderId="7" xfId="0" applyNumberFormat="1" applyFont="1" applyBorder="1"/>
    <xf numFmtId="2" fontId="10" fillId="0" borderId="8" xfId="0" applyNumberFormat="1" applyFont="1" applyBorder="1"/>
    <xf numFmtId="2" fontId="10" fillId="0" borderId="9" xfId="0" applyNumberFormat="1" applyFont="1" applyBorder="1"/>
    <xf numFmtId="2" fontId="10" fillId="0" borderId="11" xfId="0" applyNumberFormat="1" applyFont="1" applyBorder="1"/>
    <xf numFmtId="2" fontId="10" fillId="0" borderId="13" xfId="0" applyNumberFormat="1" applyFont="1" applyBorder="1"/>
    <xf numFmtId="0" fontId="0" fillId="0" borderId="10" xfId="0" applyBorder="1"/>
    <xf numFmtId="0" fontId="0" fillId="0" borderId="14" xfId="0" applyBorder="1"/>
    <xf numFmtId="0" fontId="0" fillId="0" borderId="11" xfId="0" applyBorder="1"/>
    <xf numFmtId="2" fontId="0" fillId="0" borderId="13" xfId="0" applyNumberFormat="1" applyBorder="1"/>
    <xf numFmtId="0" fontId="10" fillId="0" borderId="10" xfId="0" applyFont="1" applyBorder="1"/>
    <xf numFmtId="2" fontId="10" fillId="0" borderId="14" xfId="0" applyNumberFormat="1" applyFont="1" applyBorder="1"/>
    <xf numFmtId="0" fontId="9" fillId="0" borderId="10" xfId="0" applyFont="1" applyFill="1" applyBorder="1" applyAlignment="1"/>
    <xf numFmtId="2" fontId="9" fillId="0" borderId="14" xfId="0" applyNumberFormat="1" applyFont="1" applyBorder="1" applyAlignment="1"/>
    <xf numFmtId="2" fontId="9" fillId="0" borderId="11" xfId="0" applyNumberFormat="1" applyFont="1" applyBorder="1" applyAlignment="1"/>
    <xf numFmtId="0" fontId="9" fillId="0" borderId="1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2" fontId="9" fillId="0" borderId="16" xfId="0" applyNumberFormat="1" applyFont="1" applyBorder="1" applyAlignment="1"/>
    <xf numFmtId="2" fontId="9" fillId="0" borderId="17" xfId="0" applyNumberFormat="1" applyFont="1" applyBorder="1" applyAlignment="1"/>
    <xf numFmtId="2" fontId="0" fillId="0" borderId="18" xfId="0" applyNumberFormat="1" applyBorder="1"/>
    <xf numFmtId="2" fontId="0" fillId="0" borderId="0" xfId="0" applyNumberFormat="1" applyBorder="1"/>
    <xf numFmtId="2" fontId="0" fillId="0" borderId="0" xfId="0" applyNumberFormat="1" applyFill="1" applyBorder="1"/>
    <xf numFmtId="0" fontId="12" fillId="0" borderId="0" xfId="9"/>
    <xf numFmtId="0" fontId="12" fillId="0" borderId="0" xfId="9" applyAlignment="1">
      <alignment horizontal="center"/>
    </xf>
    <xf numFmtId="0" fontId="15" fillId="0" borderId="0" xfId="9" applyFont="1" applyAlignment="1">
      <alignment horizontal="right"/>
    </xf>
    <xf numFmtId="0" fontId="15" fillId="0" borderId="11" xfId="9" applyFont="1" applyBorder="1"/>
    <xf numFmtId="164" fontId="15" fillId="0" borderId="11" xfId="9" applyNumberFormat="1" applyFont="1" applyBorder="1"/>
    <xf numFmtId="2" fontId="15" fillId="0" borderId="11" xfId="9" applyNumberFormat="1" applyFont="1" applyBorder="1"/>
    <xf numFmtId="2" fontId="15" fillId="0" borderId="11" xfId="9" applyNumberFormat="1" applyFont="1" applyBorder="1" applyAlignment="1"/>
    <xf numFmtId="0" fontId="15" fillId="0" borderId="0" xfId="9" applyFont="1" applyBorder="1" applyAlignment="1"/>
    <xf numFmtId="2" fontId="16" fillId="0" borderId="11" xfId="9" applyNumberFormat="1" applyFont="1" applyBorder="1"/>
    <xf numFmtId="0" fontId="17" fillId="0" borderId="0" xfId="9" applyFont="1"/>
    <xf numFmtId="2" fontId="15" fillId="0" borderId="11" xfId="9" applyNumberFormat="1" applyFont="1" applyBorder="1" applyAlignment="1">
      <alignment wrapText="1"/>
    </xf>
    <xf numFmtId="0" fontId="15" fillId="0" borderId="0" xfId="9" applyFont="1"/>
    <xf numFmtId="0" fontId="16" fillId="0" borderId="11" xfId="9" applyFont="1" applyBorder="1" applyAlignment="1">
      <alignment horizontal="center" vertical="center" wrapText="1"/>
    </xf>
    <xf numFmtId="0" fontId="16" fillId="0" borderId="11" xfId="9" applyFont="1" applyBorder="1" applyAlignment="1">
      <alignment horizontal="center" vertical="center"/>
    </xf>
    <xf numFmtId="2" fontId="15" fillId="0" borderId="11" xfId="9" applyNumberFormat="1" applyFont="1" applyBorder="1" applyAlignment="1">
      <alignment horizontal="center"/>
    </xf>
    <xf numFmtId="2" fontId="16" fillId="0" borderId="11" xfId="9" applyNumberFormat="1" applyFont="1" applyBorder="1" applyAlignment="1">
      <alignment horizontal="center"/>
    </xf>
    <xf numFmtId="0" fontId="16" fillId="0" borderId="0" xfId="9" applyFont="1" applyBorder="1" applyAlignment="1">
      <alignment wrapText="1"/>
    </xf>
    <xf numFmtId="2" fontId="16" fillId="0" borderId="0" xfId="9" applyNumberFormat="1" applyFont="1" applyBorder="1" applyAlignment="1">
      <alignment horizontal="center"/>
    </xf>
    <xf numFmtId="2" fontId="16" fillId="0" borderId="11" xfId="9" applyNumberFormat="1" applyFont="1" applyBorder="1" applyAlignment="1">
      <alignment horizontal="center" vertical="center" wrapText="1"/>
    </xf>
    <xf numFmtId="0" fontId="4" fillId="0" borderId="0" xfId="10"/>
    <xf numFmtId="0" fontId="16" fillId="0" borderId="0" xfId="9" applyFont="1" applyBorder="1"/>
    <xf numFmtId="164" fontId="16" fillId="0" borderId="11" xfId="9" applyNumberFormat="1" applyFont="1" applyBorder="1"/>
    <xf numFmtId="0" fontId="15" fillId="0" borderId="11" xfId="9" applyFont="1" applyBorder="1" applyAlignment="1">
      <alignment horizontal="left"/>
    </xf>
    <xf numFmtId="2" fontId="9" fillId="0" borderId="11" xfId="9" applyNumberFormat="1" applyFont="1" applyBorder="1"/>
    <xf numFmtId="164" fontId="12" fillId="0" borderId="11" xfId="9" applyNumberFormat="1" applyBorder="1"/>
    <xf numFmtId="0" fontId="15" fillId="0" borderId="11" xfId="9" applyFont="1" applyBorder="1" applyAlignment="1">
      <alignment wrapText="1"/>
    </xf>
    <xf numFmtId="0" fontId="17" fillId="0" borderId="11" xfId="9" applyFont="1" applyBorder="1"/>
    <xf numFmtId="2" fontId="17" fillId="0" borderId="11" xfId="9" applyNumberFormat="1" applyFont="1" applyBorder="1"/>
    <xf numFmtId="0" fontId="17" fillId="0" borderId="0" xfId="9" applyFont="1" applyBorder="1"/>
    <xf numFmtId="2" fontId="17" fillId="0" borderId="0" xfId="9" applyNumberFormat="1" applyFont="1" applyBorder="1"/>
    <xf numFmtId="164" fontId="16" fillId="0" borderId="0" xfId="9" applyNumberFormat="1" applyFont="1" applyBorder="1"/>
    <xf numFmtId="0" fontId="3" fillId="0" borderId="0" xfId="11"/>
    <xf numFmtId="0" fontId="3" fillId="0" borderId="11" xfId="11" applyBorder="1"/>
    <xf numFmtId="0" fontId="11" fillId="0" borderId="11" xfId="11" applyFont="1" applyBorder="1" applyAlignment="1">
      <alignment horizontal="center"/>
    </xf>
    <xf numFmtId="0" fontId="11" fillId="0" borderId="11" xfId="11" applyFont="1" applyBorder="1" applyAlignment="1">
      <alignment wrapText="1"/>
    </xf>
    <xf numFmtId="2" fontId="11" fillId="0" borderId="11" xfId="11" applyNumberFormat="1" applyFont="1" applyBorder="1"/>
    <xf numFmtId="0" fontId="11" fillId="0" borderId="0" xfId="11" applyFont="1"/>
    <xf numFmtId="0" fontId="3" fillId="0" borderId="11" xfId="11" applyBorder="1" applyAlignment="1">
      <alignment wrapText="1"/>
    </xf>
    <xf numFmtId="2" fontId="3" fillId="0" borderId="11" xfId="11" applyNumberFormat="1" applyBorder="1"/>
    <xf numFmtId="2" fontId="11" fillId="0" borderId="0" xfId="11" applyNumberFormat="1" applyFont="1"/>
    <xf numFmtId="17" fontId="2" fillId="0" borderId="11" xfId="11" applyNumberFormat="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2" fontId="15" fillId="0" borderId="0" xfId="9" applyNumberFormat="1" applyFont="1"/>
    <xf numFmtId="2" fontId="10" fillId="0" borderId="11" xfId="9" applyNumberFormat="1" applyFont="1" applyBorder="1" applyAlignment="1">
      <alignment horizontal="center"/>
    </xf>
    <xf numFmtId="2" fontId="10" fillId="0" borderId="11" xfId="9" applyNumberFormat="1" applyFont="1" applyBorder="1"/>
    <xf numFmtId="2" fontId="10" fillId="0" borderId="26" xfId="0" applyNumberFormat="1" applyFont="1" applyBorder="1"/>
    <xf numFmtId="2" fontId="10" fillId="0" borderId="27" xfId="0" applyNumberFormat="1" applyFont="1" applyBorder="1"/>
    <xf numFmtId="2" fontId="10" fillId="0" borderId="20" xfId="0" applyNumberFormat="1" applyFont="1" applyBorder="1"/>
    <xf numFmtId="2" fontId="10" fillId="0" borderId="28" xfId="0" applyNumberFormat="1" applyFont="1" applyBorder="1"/>
    <xf numFmtId="0" fontId="0" fillId="0" borderId="20" xfId="0" applyBorder="1"/>
    <xf numFmtId="2" fontId="0" fillId="0" borderId="28" xfId="0" applyNumberFormat="1" applyFont="1" applyBorder="1"/>
    <xf numFmtId="2" fontId="9" fillId="0" borderId="20" xfId="0" applyNumberFormat="1" applyFont="1" applyBorder="1" applyAlignment="1"/>
    <xf numFmtId="2" fontId="0" fillId="0" borderId="28" xfId="0" applyNumberFormat="1" applyBorder="1"/>
    <xf numFmtId="2" fontId="9" fillId="0" borderId="29" xfId="0" applyNumberFormat="1" applyFont="1" applyBorder="1" applyAlignment="1"/>
    <xf numFmtId="2" fontId="0" fillId="0" borderId="30" xfId="0" applyNumberFormat="1" applyBorder="1"/>
    <xf numFmtId="0" fontId="21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top" wrapText="1"/>
    </xf>
    <xf numFmtId="165" fontId="0" fillId="0" borderId="11" xfId="0" applyNumberFormat="1" applyBorder="1" applyAlignment="1">
      <alignment horizontal="right" vertical="top"/>
    </xf>
    <xf numFmtId="0" fontId="0" fillId="0" borderId="0" xfId="0" applyAlignment="1"/>
    <xf numFmtId="0" fontId="11" fillId="0" borderId="11" xfId="0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wrapText="1"/>
    </xf>
    <xf numFmtId="166" fontId="11" fillId="0" borderId="11" xfId="0" applyNumberFormat="1" applyFont="1" applyBorder="1" applyAlignment="1">
      <alignment horizontal="right"/>
    </xf>
    <xf numFmtId="166" fontId="0" fillId="0" borderId="0" xfId="0" applyNumberFormat="1" applyAlignment="1"/>
    <xf numFmtId="165" fontId="11" fillId="0" borderId="11" xfId="0" applyNumberFormat="1" applyFont="1" applyBorder="1" applyAlignment="1">
      <alignment horizontal="right" vertical="top"/>
    </xf>
    <xf numFmtId="165" fontId="23" fillId="0" borderId="11" xfId="0" applyNumberFormat="1" applyFont="1" applyBorder="1" applyAlignment="1">
      <alignment horizontal="right" vertical="top"/>
    </xf>
    <xf numFmtId="2" fontId="0" fillId="0" borderId="0" xfId="0" applyNumberFormat="1"/>
    <xf numFmtId="165" fontId="0" fillId="0" borderId="0" xfId="0" applyNumberFormat="1" applyAlignment="1"/>
    <xf numFmtId="2" fontId="0" fillId="0" borderId="0" xfId="0" applyNumberFormat="1" applyAlignment="1"/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165" fontId="0" fillId="0" borderId="11" xfId="0" applyNumberFormat="1" applyFont="1" applyBorder="1" applyAlignment="1">
      <alignment horizontal="right" vertical="top"/>
    </xf>
    <xf numFmtId="2" fontId="20" fillId="0" borderId="11" xfId="9" applyNumberFormat="1" applyFont="1" applyBorder="1" applyAlignment="1">
      <alignment horizontal="center" vertical="center" wrapText="1"/>
    </xf>
    <xf numFmtId="2" fontId="20" fillId="0" borderId="11" xfId="9" applyNumberFormat="1" applyFont="1" applyBorder="1" applyAlignment="1">
      <alignment horizontal="right"/>
    </xf>
    <xf numFmtId="2" fontId="20" fillId="0" borderId="11" xfId="9" applyNumberFormat="1" applyFont="1" applyBorder="1" applyAlignment="1">
      <alignment horizontal="right" vertical="center" wrapText="1"/>
    </xf>
    <xf numFmtId="2" fontId="0" fillId="0" borderId="11" xfId="9" applyNumberFormat="1" applyFont="1" applyBorder="1" applyAlignment="1">
      <alignment horizontal="center"/>
    </xf>
    <xf numFmtId="2" fontId="24" fillId="0" borderId="0" xfId="9" applyNumberFormat="1" applyFont="1"/>
    <xf numFmtId="2" fontId="25" fillId="0" borderId="0" xfId="9" applyNumberFormat="1" applyFont="1"/>
    <xf numFmtId="2" fontId="26" fillId="0" borderId="0" xfId="9" applyNumberFormat="1" applyFont="1"/>
    <xf numFmtId="0" fontId="27" fillId="0" borderId="11" xfId="9" applyFont="1" applyBorder="1" applyAlignment="1">
      <alignment horizontal="center" wrapText="1"/>
    </xf>
    <xf numFmtId="0" fontId="27" fillId="0" borderId="11" xfId="9" applyFont="1" applyBorder="1" applyAlignment="1">
      <alignment wrapText="1"/>
    </xf>
    <xf numFmtId="0" fontId="29" fillId="0" borderId="0" xfId="12" applyFont="1"/>
    <xf numFmtId="0" fontId="30" fillId="0" borderId="11" xfId="12" applyFont="1" applyBorder="1" applyAlignment="1">
      <alignment horizontal="center" vertical="center" wrapText="1"/>
    </xf>
    <xf numFmtId="0" fontId="30" fillId="0" borderId="11" xfId="12" applyFont="1" applyBorder="1" applyAlignment="1">
      <alignment horizontal="center" vertical="center"/>
    </xf>
    <xf numFmtId="167" fontId="29" fillId="0" borderId="11" xfId="12" applyNumberFormat="1" applyFont="1" applyBorder="1" applyAlignment="1">
      <alignment horizontal="center"/>
    </xf>
    <xf numFmtId="167" fontId="30" fillId="0" borderId="11" xfId="12" applyNumberFormat="1" applyFont="1" applyBorder="1" applyAlignment="1">
      <alignment horizontal="center" vertical="center"/>
    </xf>
    <xf numFmtId="167" fontId="31" fillId="0" borderId="11" xfId="12" applyNumberFormat="1" applyFont="1" applyBorder="1" applyAlignment="1">
      <alignment horizontal="center"/>
    </xf>
    <xf numFmtId="167" fontId="1" fillId="0" borderId="11" xfId="12" applyNumberFormat="1" applyBorder="1" applyAlignment="1">
      <alignment horizontal="center"/>
    </xf>
    <xf numFmtId="168" fontId="29" fillId="0" borderId="0" xfId="12" applyNumberFormat="1" applyFont="1"/>
    <xf numFmtId="168" fontId="29" fillId="0" borderId="11" xfId="12" applyNumberFormat="1" applyFont="1" applyBorder="1" applyAlignment="1">
      <alignment horizontal="center"/>
    </xf>
    <xf numFmtId="168" fontId="30" fillId="0" borderId="11" xfId="12" applyNumberFormat="1" applyFont="1" applyBorder="1" applyAlignment="1">
      <alignment horizontal="center" vertical="center"/>
    </xf>
    <xf numFmtId="168" fontId="31" fillId="0" borderId="11" xfId="12" applyNumberFormat="1" applyFont="1" applyBorder="1" applyAlignment="1">
      <alignment horizontal="center"/>
    </xf>
    <xf numFmtId="0" fontId="30" fillId="0" borderId="0" xfId="12" applyFont="1" applyBorder="1" applyAlignment="1">
      <alignment horizontal="center" vertical="center"/>
    </xf>
    <xf numFmtId="168" fontId="30" fillId="0" borderId="0" xfId="12" applyNumberFormat="1" applyFont="1" applyBorder="1" applyAlignment="1">
      <alignment horizontal="center" vertical="center"/>
    </xf>
    <xf numFmtId="168" fontId="31" fillId="0" borderId="0" xfId="12" applyNumberFormat="1" applyFont="1" applyBorder="1" applyAlignment="1">
      <alignment horizontal="center"/>
    </xf>
    <xf numFmtId="0" fontId="15" fillId="0" borderId="11" xfId="9" applyFont="1" applyBorder="1" applyAlignment="1">
      <alignment horizontal="left" wrapText="1"/>
    </xf>
    <xf numFmtId="0" fontId="13" fillId="0" borderId="0" xfId="9" applyFont="1" applyAlignment="1">
      <alignment horizontal="center" wrapText="1"/>
    </xf>
    <xf numFmtId="0" fontId="14" fillId="0" borderId="0" xfId="10" applyFont="1" applyAlignment="1">
      <alignment horizontal="center" vertical="center" wrapText="1"/>
    </xf>
    <xf numFmtId="0" fontId="15" fillId="0" borderId="20" xfId="9" applyFont="1" applyBorder="1" applyAlignment="1">
      <alignment horizontal="center"/>
    </xf>
    <xf numFmtId="0" fontId="15" fillId="0" borderId="21" xfId="9" applyFont="1" applyBorder="1" applyAlignment="1">
      <alignment horizontal="center"/>
    </xf>
    <xf numFmtId="2" fontId="15" fillId="0" borderId="20" xfId="9" applyNumberFormat="1" applyFont="1" applyBorder="1" applyAlignment="1">
      <alignment horizontal="center"/>
    </xf>
    <xf numFmtId="2" fontId="15" fillId="0" borderId="12" xfId="9" applyNumberFormat="1" applyFont="1" applyBorder="1" applyAlignment="1">
      <alignment horizontal="center"/>
    </xf>
    <xf numFmtId="2" fontId="15" fillId="0" borderId="21" xfId="9" applyNumberFormat="1" applyFont="1" applyBorder="1" applyAlignment="1">
      <alignment horizontal="center"/>
    </xf>
    <xf numFmtId="0" fontId="16" fillId="0" borderId="11" xfId="9" applyFont="1" applyBorder="1" applyAlignment="1">
      <alignment horizontal="left" wrapText="1"/>
    </xf>
    <xf numFmtId="0" fontId="16" fillId="0" borderId="22" xfId="9" applyFont="1" applyBorder="1" applyAlignment="1">
      <alignment horizontal="center" vertical="center"/>
    </xf>
    <xf numFmtId="0" fontId="16" fillId="0" borderId="23" xfId="9" applyFont="1" applyBorder="1" applyAlignment="1">
      <alignment horizontal="center" vertical="center"/>
    </xf>
    <xf numFmtId="0" fontId="16" fillId="0" borderId="24" xfId="9" applyFont="1" applyBorder="1" applyAlignment="1">
      <alignment horizontal="center" vertical="center"/>
    </xf>
    <xf numFmtId="0" fontId="16" fillId="0" borderId="25" xfId="9" applyFont="1" applyBorder="1" applyAlignment="1">
      <alignment horizontal="center" vertical="center"/>
    </xf>
    <xf numFmtId="0" fontId="16" fillId="0" borderId="11" xfId="9" applyFont="1" applyBorder="1" applyAlignment="1">
      <alignment horizontal="center" vertical="center" wrapText="1"/>
    </xf>
    <xf numFmtId="0" fontId="16" fillId="0" borderId="11" xfId="9" applyFont="1" applyBorder="1" applyAlignment="1">
      <alignment horizontal="center" vertical="center"/>
    </xf>
    <xf numFmtId="0" fontId="15" fillId="0" borderId="20" xfId="9" applyFont="1" applyBorder="1" applyAlignment="1">
      <alignment wrapText="1"/>
    </xf>
    <xf numFmtId="0" fontId="15" fillId="0" borderId="21" xfId="9" applyFont="1" applyBorder="1" applyAlignment="1">
      <alignment wrapText="1"/>
    </xf>
    <xf numFmtId="0" fontId="17" fillId="0" borderId="11" xfId="9" applyFont="1" applyBorder="1" applyAlignment="1">
      <alignment horizontal="center"/>
    </xf>
    <xf numFmtId="0" fontId="17" fillId="0" borderId="11" xfId="9" applyFont="1" applyBorder="1" applyAlignment="1">
      <alignment horizontal="center" vertical="center"/>
    </xf>
    <xf numFmtId="0" fontId="16" fillId="0" borderId="20" xfId="9" applyFont="1" applyBorder="1" applyAlignment="1">
      <alignment wrapText="1"/>
    </xf>
    <xf numFmtId="0" fontId="16" fillId="0" borderId="21" xfId="9" applyFont="1" applyBorder="1" applyAlignment="1">
      <alignment wrapText="1"/>
    </xf>
    <xf numFmtId="0" fontId="18" fillId="0" borderId="0" xfId="10" applyFont="1" applyBorder="1" applyAlignment="1">
      <alignment horizontal="left" vertical="center"/>
    </xf>
    <xf numFmtId="2" fontId="9" fillId="0" borderId="20" xfId="9" applyNumberFormat="1" applyFont="1" applyBorder="1" applyAlignment="1">
      <alignment horizontal="left"/>
    </xf>
    <xf numFmtId="2" fontId="9" fillId="0" borderId="12" xfId="9" applyNumberFormat="1" applyFont="1" applyBorder="1" applyAlignment="1">
      <alignment horizontal="left"/>
    </xf>
    <xf numFmtId="2" fontId="9" fillId="0" borderId="21" xfId="9" applyNumberFormat="1" applyFont="1" applyBorder="1" applyAlignment="1">
      <alignment horizontal="left"/>
    </xf>
    <xf numFmtId="2" fontId="10" fillId="0" borderId="20" xfId="9" applyNumberFormat="1" applyFont="1" applyBorder="1" applyAlignment="1">
      <alignment horizontal="left"/>
    </xf>
    <xf numFmtId="2" fontId="10" fillId="0" borderId="12" xfId="9" applyNumberFormat="1" applyFont="1" applyBorder="1" applyAlignment="1">
      <alignment horizontal="left"/>
    </xf>
    <xf numFmtId="2" fontId="10" fillId="0" borderId="21" xfId="9" applyNumberFormat="1" applyFont="1" applyBorder="1" applyAlignment="1">
      <alignment horizontal="left"/>
    </xf>
    <xf numFmtId="0" fontId="17" fillId="0" borderId="0" xfId="9" applyFont="1" applyBorder="1" applyAlignment="1">
      <alignment horizontal="center"/>
    </xf>
    <xf numFmtId="0" fontId="0" fillId="0" borderId="20" xfId="9" applyFont="1" applyBorder="1" applyAlignment="1">
      <alignment horizontal="left" vertical="center" wrapText="1"/>
    </xf>
    <xf numFmtId="0" fontId="20" fillId="0" borderId="12" xfId="9" applyFont="1" applyBorder="1" applyAlignment="1">
      <alignment horizontal="left" vertical="center" wrapText="1"/>
    </xf>
    <xf numFmtId="0" fontId="20" fillId="0" borderId="21" xfId="9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11" fillId="0" borderId="0" xfId="11" applyFont="1" applyBorder="1" applyAlignment="1">
      <alignment horizontal="center"/>
    </xf>
    <xf numFmtId="0" fontId="19" fillId="0" borderId="19" xfId="1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29" fillId="0" borderId="0" xfId="12" applyFont="1" applyAlignment="1">
      <alignment horizontal="center"/>
    </xf>
    <xf numFmtId="0" fontId="28" fillId="0" borderId="0" xfId="12" applyFont="1" applyBorder="1" applyAlignment="1">
      <alignment horizontal="center"/>
    </xf>
    <xf numFmtId="0" fontId="30" fillId="0" borderId="11" xfId="12" applyFont="1" applyBorder="1" applyAlignment="1">
      <alignment horizontal="center" vertical="center"/>
    </xf>
    <xf numFmtId="0" fontId="31" fillId="0" borderId="11" xfId="12" applyFont="1" applyBorder="1" applyAlignment="1">
      <alignment horizontal="center" vertical="center" wrapText="1"/>
    </xf>
    <xf numFmtId="0" fontId="29" fillId="0" borderId="11" xfId="12" applyFont="1" applyBorder="1" applyAlignment="1">
      <alignment horizontal="center" wrapText="1"/>
    </xf>
    <xf numFmtId="0" fontId="29" fillId="0" borderId="11" xfId="12" applyFont="1" applyBorder="1" applyAlignment="1">
      <alignment horizontal="center" vertical="center" wrapText="1"/>
    </xf>
    <xf numFmtId="0" fontId="28" fillId="0" borderId="0" xfId="12" applyFont="1" applyAlignment="1">
      <alignment horizontal="center" wrapText="1"/>
    </xf>
    <xf numFmtId="0" fontId="28" fillId="0" borderId="0" xfId="12" applyFont="1" applyBorder="1" applyAlignment="1">
      <alignment horizontal="center" wrapText="1"/>
    </xf>
  </cellXfs>
  <cellStyles count="13">
    <cellStyle name="Обычный" xfId="0" builtinId="0"/>
    <cellStyle name="Обычный 10" xfId="12"/>
    <cellStyle name="Обычный 2" xfId="1"/>
    <cellStyle name="Обычный 2 2" xfId="2"/>
    <cellStyle name="Обычный 2 3" xfId="9"/>
    <cellStyle name="Обычный 3" xfId="3"/>
    <cellStyle name="Обычный 4" xfId="4"/>
    <cellStyle name="Обычный 5" xfId="5"/>
    <cellStyle name="Обычный 6" xfId="6"/>
    <cellStyle name="Обычный 7" xfId="8"/>
    <cellStyle name="Обычный 8" xfId="10"/>
    <cellStyle name="Обычный 9" xfId="11"/>
    <cellStyle name="Финансовый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workbookViewId="0">
      <selection activeCell="A43" sqref="A43:A51"/>
    </sheetView>
  </sheetViews>
  <sheetFormatPr defaultRowHeight="14.25"/>
  <cols>
    <col min="1" max="1" width="30.28515625" style="30" customWidth="1"/>
    <col min="2" max="2" width="15.28515625" style="30" customWidth="1"/>
    <col min="3" max="3" width="13.42578125" style="30" customWidth="1"/>
    <col min="4" max="4" width="12.85546875" style="30" customWidth="1"/>
    <col min="5" max="5" width="13.85546875" style="30" customWidth="1"/>
    <col min="6" max="6" width="11.28515625" style="30" customWidth="1"/>
    <col min="7" max="7" width="15.28515625" style="30" customWidth="1"/>
    <col min="8" max="256" width="9.140625" style="30"/>
    <col min="257" max="257" width="34" style="30" customWidth="1"/>
    <col min="258" max="258" width="14.42578125" style="30" customWidth="1"/>
    <col min="259" max="259" width="12.7109375" style="30" customWidth="1"/>
    <col min="260" max="260" width="12.28515625" style="30" customWidth="1"/>
    <col min="261" max="261" width="11.42578125" style="30" customWidth="1"/>
    <col min="262" max="262" width="9.7109375" style="30" customWidth="1"/>
    <col min="263" max="263" width="15" style="30" customWidth="1"/>
    <col min="264" max="512" width="9.140625" style="30"/>
    <col min="513" max="513" width="34" style="30" customWidth="1"/>
    <col min="514" max="514" width="14.42578125" style="30" customWidth="1"/>
    <col min="515" max="515" width="12.7109375" style="30" customWidth="1"/>
    <col min="516" max="516" width="12.28515625" style="30" customWidth="1"/>
    <col min="517" max="517" width="11.42578125" style="30" customWidth="1"/>
    <col min="518" max="518" width="9.7109375" style="30" customWidth="1"/>
    <col min="519" max="519" width="15" style="30" customWidth="1"/>
    <col min="520" max="768" width="9.140625" style="30"/>
    <col min="769" max="769" width="34" style="30" customWidth="1"/>
    <col min="770" max="770" width="14.42578125" style="30" customWidth="1"/>
    <col min="771" max="771" width="12.7109375" style="30" customWidth="1"/>
    <col min="772" max="772" width="12.28515625" style="30" customWidth="1"/>
    <col min="773" max="773" width="11.42578125" style="30" customWidth="1"/>
    <col min="774" max="774" width="9.7109375" style="30" customWidth="1"/>
    <col min="775" max="775" width="15" style="30" customWidth="1"/>
    <col min="776" max="1024" width="9.140625" style="30"/>
    <col min="1025" max="1025" width="34" style="30" customWidth="1"/>
    <col min="1026" max="1026" width="14.42578125" style="30" customWidth="1"/>
    <col min="1027" max="1027" width="12.7109375" style="30" customWidth="1"/>
    <col min="1028" max="1028" width="12.28515625" style="30" customWidth="1"/>
    <col min="1029" max="1029" width="11.42578125" style="30" customWidth="1"/>
    <col min="1030" max="1030" width="9.7109375" style="30" customWidth="1"/>
    <col min="1031" max="1031" width="15" style="30" customWidth="1"/>
    <col min="1032" max="1280" width="9.140625" style="30"/>
    <col min="1281" max="1281" width="34" style="30" customWidth="1"/>
    <col min="1282" max="1282" width="14.42578125" style="30" customWidth="1"/>
    <col min="1283" max="1283" width="12.7109375" style="30" customWidth="1"/>
    <col min="1284" max="1284" width="12.28515625" style="30" customWidth="1"/>
    <col min="1285" max="1285" width="11.42578125" style="30" customWidth="1"/>
    <col min="1286" max="1286" width="9.7109375" style="30" customWidth="1"/>
    <col min="1287" max="1287" width="15" style="30" customWidth="1"/>
    <col min="1288" max="1536" width="9.140625" style="30"/>
    <col min="1537" max="1537" width="34" style="30" customWidth="1"/>
    <col min="1538" max="1538" width="14.42578125" style="30" customWidth="1"/>
    <col min="1539" max="1539" width="12.7109375" style="30" customWidth="1"/>
    <col min="1540" max="1540" width="12.28515625" style="30" customWidth="1"/>
    <col min="1541" max="1541" width="11.42578125" style="30" customWidth="1"/>
    <col min="1542" max="1542" width="9.7109375" style="30" customWidth="1"/>
    <col min="1543" max="1543" width="15" style="30" customWidth="1"/>
    <col min="1544" max="1792" width="9.140625" style="30"/>
    <col min="1793" max="1793" width="34" style="30" customWidth="1"/>
    <col min="1794" max="1794" width="14.42578125" style="30" customWidth="1"/>
    <col min="1795" max="1795" width="12.7109375" style="30" customWidth="1"/>
    <col min="1796" max="1796" width="12.28515625" style="30" customWidth="1"/>
    <col min="1797" max="1797" width="11.42578125" style="30" customWidth="1"/>
    <col min="1798" max="1798" width="9.7109375" style="30" customWidth="1"/>
    <col min="1799" max="1799" width="15" style="30" customWidth="1"/>
    <col min="1800" max="2048" width="9.140625" style="30"/>
    <col min="2049" max="2049" width="34" style="30" customWidth="1"/>
    <col min="2050" max="2050" width="14.42578125" style="30" customWidth="1"/>
    <col min="2051" max="2051" width="12.7109375" style="30" customWidth="1"/>
    <col min="2052" max="2052" width="12.28515625" style="30" customWidth="1"/>
    <col min="2053" max="2053" width="11.42578125" style="30" customWidth="1"/>
    <col min="2054" max="2054" width="9.7109375" style="30" customWidth="1"/>
    <col min="2055" max="2055" width="15" style="30" customWidth="1"/>
    <col min="2056" max="2304" width="9.140625" style="30"/>
    <col min="2305" max="2305" width="34" style="30" customWidth="1"/>
    <col min="2306" max="2306" width="14.42578125" style="30" customWidth="1"/>
    <col min="2307" max="2307" width="12.7109375" style="30" customWidth="1"/>
    <col min="2308" max="2308" width="12.28515625" style="30" customWidth="1"/>
    <col min="2309" max="2309" width="11.42578125" style="30" customWidth="1"/>
    <col min="2310" max="2310" width="9.7109375" style="30" customWidth="1"/>
    <col min="2311" max="2311" width="15" style="30" customWidth="1"/>
    <col min="2312" max="2560" width="9.140625" style="30"/>
    <col min="2561" max="2561" width="34" style="30" customWidth="1"/>
    <col min="2562" max="2562" width="14.42578125" style="30" customWidth="1"/>
    <col min="2563" max="2563" width="12.7109375" style="30" customWidth="1"/>
    <col min="2564" max="2564" width="12.28515625" style="30" customWidth="1"/>
    <col min="2565" max="2565" width="11.42578125" style="30" customWidth="1"/>
    <col min="2566" max="2566" width="9.7109375" style="30" customWidth="1"/>
    <col min="2567" max="2567" width="15" style="30" customWidth="1"/>
    <col min="2568" max="2816" width="9.140625" style="30"/>
    <col min="2817" max="2817" width="34" style="30" customWidth="1"/>
    <col min="2818" max="2818" width="14.42578125" style="30" customWidth="1"/>
    <col min="2819" max="2819" width="12.7109375" style="30" customWidth="1"/>
    <col min="2820" max="2820" width="12.28515625" style="30" customWidth="1"/>
    <col min="2821" max="2821" width="11.42578125" style="30" customWidth="1"/>
    <col min="2822" max="2822" width="9.7109375" style="30" customWidth="1"/>
    <col min="2823" max="2823" width="15" style="30" customWidth="1"/>
    <col min="2824" max="3072" width="9.140625" style="30"/>
    <col min="3073" max="3073" width="34" style="30" customWidth="1"/>
    <col min="3074" max="3074" width="14.42578125" style="30" customWidth="1"/>
    <col min="3075" max="3075" width="12.7109375" style="30" customWidth="1"/>
    <col min="3076" max="3076" width="12.28515625" style="30" customWidth="1"/>
    <col min="3077" max="3077" width="11.42578125" style="30" customWidth="1"/>
    <col min="3078" max="3078" width="9.7109375" style="30" customWidth="1"/>
    <col min="3079" max="3079" width="15" style="30" customWidth="1"/>
    <col min="3080" max="3328" width="9.140625" style="30"/>
    <col min="3329" max="3329" width="34" style="30" customWidth="1"/>
    <col min="3330" max="3330" width="14.42578125" style="30" customWidth="1"/>
    <col min="3331" max="3331" width="12.7109375" style="30" customWidth="1"/>
    <col min="3332" max="3332" width="12.28515625" style="30" customWidth="1"/>
    <col min="3333" max="3333" width="11.42578125" style="30" customWidth="1"/>
    <col min="3334" max="3334" width="9.7109375" style="30" customWidth="1"/>
    <col min="3335" max="3335" width="15" style="30" customWidth="1"/>
    <col min="3336" max="3584" width="9.140625" style="30"/>
    <col min="3585" max="3585" width="34" style="30" customWidth="1"/>
    <col min="3586" max="3586" width="14.42578125" style="30" customWidth="1"/>
    <col min="3587" max="3587" width="12.7109375" style="30" customWidth="1"/>
    <col min="3588" max="3588" width="12.28515625" style="30" customWidth="1"/>
    <col min="3589" max="3589" width="11.42578125" style="30" customWidth="1"/>
    <col min="3590" max="3590" width="9.7109375" style="30" customWidth="1"/>
    <col min="3591" max="3591" width="15" style="30" customWidth="1"/>
    <col min="3592" max="3840" width="9.140625" style="30"/>
    <col min="3841" max="3841" width="34" style="30" customWidth="1"/>
    <col min="3842" max="3842" width="14.42578125" style="30" customWidth="1"/>
    <col min="3843" max="3843" width="12.7109375" style="30" customWidth="1"/>
    <col min="3844" max="3844" width="12.28515625" style="30" customWidth="1"/>
    <col min="3845" max="3845" width="11.42578125" style="30" customWidth="1"/>
    <col min="3846" max="3846" width="9.7109375" style="30" customWidth="1"/>
    <col min="3847" max="3847" width="15" style="30" customWidth="1"/>
    <col min="3848" max="4096" width="9.140625" style="30"/>
    <col min="4097" max="4097" width="34" style="30" customWidth="1"/>
    <col min="4098" max="4098" width="14.42578125" style="30" customWidth="1"/>
    <col min="4099" max="4099" width="12.7109375" style="30" customWidth="1"/>
    <col min="4100" max="4100" width="12.28515625" style="30" customWidth="1"/>
    <col min="4101" max="4101" width="11.42578125" style="30" customWidth="1"/>
    <col min="4102" max="4102" width="9.7109375" style="30" customWidth="1"/>
    <col min="4103" max="4103" width="15" style="30" customWidth="1"/>
    <col min="4104" max="4352" width="9.140625" style="30"/>
    <col min="4353" max="4353" width="34" style="30" customWidth="1"/>
    <col min="4354" max="4354" width="14.42578125" style="30" customWidth="1"/>
    <col min="4355" max="4355" width="12.7109375" style="30" customWidth="1"/>
    <col min="4356" max="4356" width="12.28515625" style="30" customWidth="1"/>
    <col min="4357" max="4357" width="11.42578125" style="30" customWidth="1"/>
    <col min="4358" max="4358" width="9.7109375" style="30" customWidth="1"/>
    <col min="4359" max="4359" width="15" style="30" customWidth="1"/>
    <col min="4360" max="4608" width="9.140625" style="30"/>
    <col min="4609" max="4609" width="34" style="30" customWidth="1"/>
    <col min="4610" max="4610" width="14.42578125" style="30" customWidth="1"/>
    <col min="4611" max="4611" width="12.7109375" style="30" customWidth="1"/>
    <col min="4612" max="4612" width="12.28515625" style="30" customWidth="1"/>
    <col min="4613" max="4613" width="11.42578125" style="30" customWidth="1"/>
    <col min="4614" max="4614" width="9.7109375" style="30" customWidth="1"/>
    <col min="4615" max="4615" width="15" style="30" customWidth="1"/>
    <col min="4616" max="4864" width="9.140625" style="30"/>
    <col min="4865" max="4865" width="34" style="30" customWidth="1"/>
    <col min="4866" max="4866" width="14.42578125" style="30" customWidth="1"/>
    <col min="4867" max="4867" width="12.7109375" style="30" customWidth="1"/>
    <col min="4868" max="4868" width="12.28515625" style="30" customWidth="1"/>
    <col min="4869" max="4869" width="11.42578125" style="30" customWidth="1"/>
    <col min="4870" max="4870" width="9.7109375" style="30" customWidth="1"/>
    <col min="4871" max="4871" width="15" style="30" customWidth="1"/>
    <col min="4872" max="5120" width="9.140625" style="30"/>
    <col min="5121" max="5121" width="34" style="30" customWidth="1"/>
    <col min="5122" max="5122" width="14.42578125" style="30" customWidth="1"/>
    <col min="5123" max="5123" width="12.7109375" style="30" customWidth="1"/>
    <col min="5124" max="5124" width="12.28515625" style="30" customWidth="1"/>
    <col min="5125" max="5125" width="11.42578125" style="30" customWidth="1"/>
    <col min="5126" max="5126" width="9.7109375" style="30" customWidth="1"/>
    <col min="5127" max="5127" width="15" style="30" customWidth="1"/>
    <col min="5128" max="5376" width="9.140625" style="30"/>
    <col min="5377" max="5377" width="34" style="30" customWidth="1"/>
    <col min="5378" max="5378" width="14.42578125" style="30" customWidth="1"/>
    <col min="5379" max="5379" width="12.7109375" style="30" customWidth="1"/>
    <col min="5380" max="5380" width="12.28515625" style="30" customWidth="1"/>
    <col min="5381" max="5381" width="11.42578125" style="30" customWidth="1"/>
    <col min="5382" max="5382" width="9.7109375" style="30" customWidth="1"/>
    <col min="5383" max="5383" width="15" style="30" customWidth="1"/>
    <col min="5384" max="5632" width="9.140625" style="30"/>
    <col min="5633" max="5633" width="34" style="30" customWidth="1"/>
    <col min="5634" max="5634" width="14.42578125" style="30" customWidth="1"/>
    <col min="5635" max="5635" width="12.7109375" style="30" customWidth="1"/>
    <col min="5636" max="5636" width="12.28515625" style="30" customWidth="1"/>
    <col min="5637" max="5637" width="11.42578125" style="30" customWidth="1"/>
    <col min="5638" max="5638" width="9.7109375" style="30" customWidth="1"/>
    <col min="5639" max="5639" width="15" style="30" customWidth="1"/>
    <col min="5640" max="5888" width="9.140625" style="30"/>
    <col min="5889" max="5889" width="34" style="30" customWidth="1"/>
    <col min="5890" max="5890" width="14.42578125" style="30" customWidth="1"/>
    <col min="5891" max="5891" width="12.7109375" style="30" customWidth="1"/>
    <col min="5892" max="5892" width="12.28515625" style="30" customWidth="1"/>
    <col min="5893" max="5893" width="11.42578125" style="30" customWidth="1"/>
    <col min="5894" max="5894" width="9.7109375" style="30" customWidth="1"/>
    <col min="5895" max="5895" width="15" style="30" customWidth="1"/>
    <col min="5896" max="6144" width="9.140625" style="30"/>
    <col min="6145" max="6145" width="34" style="30" customWidth="1"/>
    <col min="6146" max="6146" width="14.42578125" style="30" customWidth="1"/>
    <col min="6147" max="6147" width="12.7109375" style="30" customWidth="1"/>
    <col min="6148" max="6148" width="12.28515625" style="30" customWidth="1"/>
    <col min="6149" max="6149" width="11.42578125" style="30" customWidth="1"/>
    <col min="6150" max="6150" width="9.7109375" style="30" customWidth="1"/>
    <col min="6151" max="6151" width="15" style="30" customWidth="1"/>
    <col min="6152" max="6400" width="9.140625" style="30"/>
    <col min="6401" max="6401" width="34" style="30" customWidth="1"/>
    <col min="6402" max="6402" width="14.42578125" style="30" customWidth="1"/>
    <col min="6403" max="6403" width="12.7109375" style="30" customWidth="1"/>
    <col min="6404" max="6404" width="12.28515625" style="30" customWidth="1"/>
    <col min="6405" max="6405" width="11.42578125" style="30" customWidth="1"/>
    <col min="6406" max="6406" width="9.7109375" style="30" customWidth="1"/>
    <col min="6407" max="6407" width="15" style="30" customWidth="1"/>
    <col min="6408" max="6656" width="9.140625" style="30"/>
    <col min="6657" max="6657" width="34" style="30" customWidth="1"/>
    <col min="6658" max="6658" width="14.42578125" style="30" customWidth="1"/>
    <col min="6659" max="6659" width="12.7109375" style="30" customWidth="1"/>
    <col min="6660" max="6660" width="12.28515625" style="30" customWidth="1"/>
    <col min="6661" max="6661" width="11.42578125" style="30" customWidth="1"/>
    <col min="6662" max="6662" width="9.7109375" style="30" customWidth="1"/>
    <col min="6663" max="6663" width="15" style="30" customWidth="1"/>
    <col min="6664" max="6912" width="9.140625" style="30"/>
    <col min="6913" max="6913" width="34" style="30" customWidth="1"/>
    <col min="6914" max="6914" width="14.42578125" style="30" customWidth="1"/>
    <col min="6915" max="6915" width="12.7109375" style="30" customWidth="1"/>
    <col min="6916" max="6916" width="12.28515625" style="30" customWidth="1"/>
    <col min="6917" max="6917" width="11.42578125" style="30" customWidth="1"/>
    <col min="6918" max="6918" width="9.7109375" style="30" customWidth="1"/>
    <col min="6919" max="6919" width="15" style="30" customWidth="1"/>
    <col min="6920" max="7168" width="9.140625" style="30"/>
    <col min="7169" max="7169" width="34" style="30" customWidth="1"/>
    <col min="7170" max="7170" width="14.42578125" style="30" customWidth="1"/>
    <col min="7171" max="7171" width="12.7109375" style="30" customWidth="1"/>
    <col min="7172" max="7172" width="12.28515625" style="30" customWidth="1"/>
    <col min="7173" max="7173" width="11.42578125" style="30" customWidth="1"/>
    <col min="7174" max="7174" width="9.7109375" style="30" customWidth="1"/>
    <col min="7175" max="7175" width="15" style="30" customWidth="1"/>
    <col min="7176" max="7424" width="9.140625" style="30"/>
    <col min="7425" max="7425" width="34" style="30" customWidth="1"/>
    <col min="7426" max="7426" width="14.42578125" style="30" customWidth="1"/>
    <col min="7427" max="7427" width="12.7109375" style="30" customWidth="1"/>
    <col min="7428" max="7428" width="12.28515625" style="30" customWidth="1"/>
    <col min="7429" max="7429" width="11.42578125" style="30" customWidth="1"/>
    <col min="7430" max="7430" width="9.7109375" style="30" customWidth="1"/>
    <col min="7431" max="7431" width="15" style="30" customWidth="1"/>
    <col min="7432" max="7680" width="9.140625" style="30"/>
    <col min="7681" max="7681" width="34" style="30" customWidth="1"/>
    <col min="7682" max="7682" width="14.42578125" style="30" customWidth="1"/>
    <col min="7683" max="7683" width="12.7109375" style="30" customWidth="1"/>
    <col min="7684" max="7684" width="12.28515625" style="30" customWidth="1"/>
    <col min="7685" max="7685" width="11.42578125" style="30" customWidth="1"/>
    <col min="7686" max="7686" width="9.7109375" style="30" customWidth="1"/>
    <col min="7687" max="7687" width="15" style="30" customWidth="1"/>
    <col min="7688" max="7936" width="9.140625" style="30"/>
    <col min="7937" max="7937" width="34" style="30" customWidth="1"/>
    <col min="7938" max="7938" width="14.42578125" style="30" customWidth="1"/>
    <col min="7939" max="7939" width="12.7109375" style="30" customWidth="1"/>
    <col min="7940" max="7940" width="12.28515625" style="30" customWidth="1"/>
    <col min="7941" max="7941" width="11.42578125" style="30" customWidth="1"/>
    <col min="7942" max="7942" width="9.7109375" style="30" customWidth="1"/>
    <col min="7943" max="7943" width="15" style="30" customWidth="1"/>
    <col min="7944" max="8192" width="9.140625" style="30"/>
    <col min="8193" max="8193" width="34" style="30" customWidth="1"/>
    <col min="8194" max="8194" width="14.42578125" style="30" customWidth="1"/>
    <col min="8195" max="8195" width="12.7109375" style="30" customWidth="1"/>
    <col min="8196" max="8196" width="12.28515625" style="30" customWidth="1"/>
    <col min="8197" max="8197" width="11.42578125" style="30" customWidth="1"/>
    <col min="8198" max="8198" width="9.7109375" style="30" customWidth="1"/>
    <col min="8199" max="8199" width="15" style="30" customWidth="1"/>
    <col min="8200" max="8448" width="9.140625" style="30"/>
    <col min="8449" max="8449" width="34" style="30" customWidth="1"/>
    <col min="8450" max="8450" width="14.42578125" style="30" customWidth="1"/>
    <col min="8451" max="8451" width="12.7109375" style="30" customWidth="1"/>
    <col min="8452" max="8452" width="12.28515625" style="30" customWidth="1"/>
    <col min="8453" max="8453" width="11.42578125" style="30" customWidth="1"/>
    <col min="8454" max="8454" width="9.7109375" style="30" customWidth="1"/>
    <col min="8455" max="8455" width="15" style="30" customWidth="1"/>
    <col min="8456" max="8704" width="9.140625" style="30"/>
    <col min="8705" max="8705" width="34" style="30" customWidth="1"/>
    <col min="8706" max="8706" width="14.42578125" style="30" customWidth="1"/>
    <col min="8707" max="8707" width="12.7109375" style="30" customWidth="1"/>
    <col min="8708" max="8708" width="12.28515625" style="30" customWidth="1"/>
    <col min="8709" max="8709" width="11.42578125" style="30" customWidth="1"/>
    <col min="8710" max="8710" width="9.7109375" style="30" customWidth="1"/>
    <col min="8711" max="8711" width="15" style="30" customWidth="1"/>
    <col min="8712" max="8960" width="9.140625" style="30"/>
    <col min="8961" max="8961" width="34" style="30" customWidth="1"/>
    <col min="8962" max="8962" width="14.42578125" style="30" customWidth="1"/>
    <col min="8963" max="8963" width="12.7109375" style="30" customWidth="1"/>
    <col min="8964" max="8964" width="12.28515625" style="30" customWidth="1"/>
    <col min="8965" max="8965" width="11.42578125" style="30" customWidth="1"/>
    <col min="8966" max="8966" width="9.7109375" style="30" customWidth="1"/>
    <col min="8967" max="8967" width="15" style="30" customWidth="1"/>
    <col min="8968" max="9216" width="9.140625" style="30"/>
    <col min="9217" max="9217" width="34" style="30" customWidth="1"/>
    <col min="9218" max="9218" width="14.42578125" style="30" customWidth="1"/>
    <col min="9219" max="9219" width="12.7109375" style="30" customWidth="1"/>
    <col min="9220" max="9220" width="12.28515625" style="30" customWidth="1"/>
    <col min="9221" max="9221" width="11.42578125" style="30" customWidth="1"/>
    <col min="9222" max="9222" width="9.7109375" style="30" customWidth="1"/>
    <col min="9223" max="9223" width="15" style="30" customWidth="1"/>
    <col min="9224" max="9472" width="9.140625" style="30"/>
    <col min="9473" max="9473" width="34" style="30" customWidth="1"/>
    <col min="9474" max="9474" width="14.42578125" style="30" customWidth="1"/>
    <col min="9475" max="9475" width="12.7109375" style="30" customWidth="1"/>
    <col min="9476" max="9476" width="12.28515625" style="30" customWidth="1"/>
    <col min="9477" max="9477" width="11.42578125" style="30" customWidth="1"/>
    <col min="9478" max="9478" width="9.7109375" style="30" customWidth="1"/>
    <col min="9479" max="9479" width="15" style="30" customWidth="1"/>
    <col min="9480" max="9728" width="9.140625" style="30"/>
    <col min="9729" max="9729" width="34" style="30" customWidth="1"/>
    <col min="9730" max="9730" width="14.42578125" style="30" customWidth="1"/>
    <col min="9731" max="9731" width="12.7109375" style="30" customWidth="1"/>
    <col min="9732" max="9732" width="12.28515625" style="30" customWidth="1"/>
    <col min="9733" max="9733" width="11.42578125" style="30" customWidth="1"/>
    <col min="9734" max="9734" width="9.7109375" style="30" customWidth="1"/>
    <col min="9735" max="9735" width="15" style="30" customWidth="1"/>
    <col min="9736" max="9984" width="9.140625" style="30"/>
    <col min="9985" max="9985" width="34" style="30" customWidth="1"/>
    <col min="9986" max="9986" width="14.42578125" style="30" customWidth="1"/>
    <col min="9987" max="9987" width="12.7109375" style="30" customWidth="1"/>
    <col min="9988" max="9988" width="12.28515625" style="30" customWidth="1"/>
    <col min="9989" max="9989" width="11.42578125" style="30" customWidth="1"/>
    <col min="9990" max="9990" width="9.7109375" style="30" customWidth="1"/>
    <col min="9991" max="9991" width="15" style="30" customWidth="1"/>
    <col min="9992" max="10240" width="9.140625" style="30"/>
    <col min="10241" max="10241" width="34" style="30" customWidth="1"/>
    <col min="10242" max="10242" width="14.42578125" style="30" customWidth="1"/>
    <col min="10243" max="10243" width="12.7109375" style="30" customWidth="1"/>
    <col min="10244" max="10244" width="12.28515625" style="30" customWidth="1"/>
    <col min="10245" max="10245" width="11.42578125" style="30" customWidth="1"/>
    <col min="10246" max="10246" width="9.7109375" style="30" customWidth="1"/>
    <col min="10247" max="10247" width="15" style="30" customWidth="1"/>
    <col min="10248" max="10496" width="9.140625" style="30"/>
    <col min="10497" max="10497" width="34" style="30" customWidth="1"/>
    <col min="10498" max="10498" width="14.42578125" style="30" customWidth="1"/>
    <col min="10499" max="10499" width="12.7109375" style="30" customWidth="1"/>
    <col min="10500" max="10500" width="12.28515625" style="30" customWidth="1"/>
    <col min="10501" max="10501" width="11.42578125" style="30" customWidth="1"/>
    <col min="10502" max="10502" width="9.7109375" style="30" customWidth="1"/>
    <col min="10503" max="10503" width="15" style="30" customWidth="1"/>
    <col min="10504" max="10752" width="9.140625" style="30"/>
    <col min="10753" max="10753" width="34" style="30" customWidth="1"/>
    <col min="10754" max="10754" width="14.42578125" style="30" customWidth="1"/>
    <col min="10755" max="10755" width="12.7109375" style="30" customWidth="1"/>
    <col min="10756" max="10756" width="12.28515625" style="30" customWidth="1"/>
    <col min="10757" max="10757" width="11.42578125" style="30" customWidth="1"/>
    <col min="10758" max="10758" width="9.7109375" style="30" customWidth="1"/>
    <col min="10759" max="10759" width="15" style="30" customWidth="1"/>
    <col min="10760" max="11008" width="9.140625" style="30"/>
    <col min="11009" max="11009" width="34" style="30" customWidth="1"/>
    <col min="11010" max="11010" width="14.42578125" style="30" customWidth="1"/>
    <col min="11011" max="11011" width="12.7109375" style="30" customWidth="1"/>
    <col min="11012" max="11012" width="12.28515625" style="30" customWidth="1"/>
    <col min="11013" max="11013" width="11.42578125" style="30" customWidth="1"/>
    <col min="11014" max="11014" width="9.7109375" style="30" customWidth="1"/>
    <col min="11015" max="11015" width="15" style="30" customWidth="1"/>
    <col min="11016" max="11264" width="9.140625" style="30"/>
    <col min="11265" max="11265" width="34" style="30" customWidth="1"/>
    <col min="11266" max="11266" width="14.42578125" style="30" customWidth="1"/>
    <col min="11267" max="11267" width="12.7109375" style="30" customWidth="1"/>
    <col min="11268" max="11268" width="12.28515625" style="30" customWidth="1"/>
    <col min="11269" max="11269" width="11.42578125" style="30" customWidth="1"/>
    <col min="11270" max="11270" width="9.7109375" style="30" customWidth="1"/>
    <col min="11271" max="11271" width="15" style="30" customWidth="1"/>
    <col min="11272" max="11520" width="9.140625" style="30"/>
    <col min="11521" max="11521" width="34" style="30" customWidth="1"/>
    <col min="11522" max="11522" width="14.42578125" style="30" customWidth="1"/>
    <col min="11523" max="11523" width="12.7109375" style="30" customWidth="1"/>
    <col min="11524" max="11524" width="12.28515625" style="30" customWidth="1"/>
    <col min="11525" max="11525" width="11.42578125" style="30" customWidth="1"/>
    <col min="11526" max="11526" width="9.7109375" style="30" customWidth="1"/>
    <col min="11527" max="11527" width="15" style="30" customWidth="1"/>
    <col min="11528" max="11776" width="9.140625" style="30"/>
    <col min="11777" max="11777" width="34" style="30" customWidth="1"/>
    <col min="11778" max="11778" width="14.42578125" style="30" customWidth="1"/>
    <col min="11779" max="11779" width="12.7109375" style="30" customWidth="1"/>
    <col min="11780" max="11780" width="12.28515625" style="30" customWidth="1"/>
    <col min="11781" max="11781" width="11.42578125" style="30" customWidth="1"/>
    <col min="11782" max="11782" width="9.7109375" style="30" customWidth="1"/>
    <col min="11783" max="11783" width="15" style="30" customWidth="1"/>
    <col min="11784" max="12032" width="9.140625" style="30"/>
    <col min="12033" max="12033" width="34" style="30" customWidth="1"/>
    <col min="12034" max="12034" width="14.42578125" style="30" customWidth="1"/>
    <col min="12035" max="12035" width="12.7109375" style="30" customWidth="1"/>
    <col min="12036" max="12036" width="12.28515625" style="30" customWidth="1"/>
    <col min="12037" max="12037" width="11.42578125" style="30" customWidth="1"/>
    <col min="12038" max="12038" width="9.7109375" style="30" customWidth="1"/>
    <col min="12039" max="12039" width="15" style="30" customWidth="1"/>
    <col min="12040" max="12288" width="9.140625" style="30"/>
    <col min="12289" max="12289" width="34" style="30" customWidth="1"/>
    <col min="12290" max="12290" width="14.42578125" style="30" customWidth="1"/>
    <col min="12291" max="12291" width="12.7109375" style="30" customWidth="1"/>
    <col min="12292" max="12292" width="12.28515625" style="30" customWidth="1"/>
    <col min="12293" max="12293" width="11.42578125" style="30" customWidth="1"/>
    <col min="12294" max="12294" width="9.7109375" style="30" customWidth="1"/>
    <col min="12295" max="12295" width="15" style="30" customWidth="1"/>
    <col min="12296" max="12544" width="9.140625" style="30"/>
    <col min="12545" max="12545" width="34" style="30" customWidth="1"/>
    <col min="12546" max="12546" width="14.42578125" style="30" customWidth="1"/>
    <col min="12547" max="12547" width="12.7109375" style="30" customWidth="1"/>
    <col min="12548" max="12548" width="12.28515625" style="30" customWidth="1"/>
    <col min="12549" max="12549" width="11.42578125" style="30" customWidth="1"/>
    <col min="12550" max="12550" width="9.7109375" style="30" customWidth="1"/>
    <col min="12551" max="12551" width="15" style="30" customWidth="1"/>
    <col min="12552" max="12800" width="9.140625" style="30"/>
    <col min="12801" max="12801" width="34" style="30" customWidth="1"/>
    <col min="12802" max="12802" width="14.42578125" style="30" customWidth="1"/>
    <col min="12803" max="12803" width="12.7109375" style="30" customWidth="1"/>
    <col min="12804" max="12804" width="12.28515625" style="30" customWidth="1"/>
    <col min="12805" max="12805" width="11.42578125" style="30" customWidth="1"/>
    <col min="12806" max="12806" width="9.7109375" style="30" customWidth="1"/>
    <col min="12807" max="12807" width="15" style="30" customWidth="1"/>
    <col min="12808" max="13056" width="9.140625" style="30"/>
    <col min="13057" max="13057" width="34" style="30" customWidth="1"/>
    <col min="13058" max="13058" width="14.42578125" style="30" customWidth="1"/>
    <col min="13059" max="13059" width="12.7109375" style="30" customWidth="1"/>
    <col min="13060" max="13060" width="12.28515625" style="30" customWidth="1"/>
    <col min="13061" max="13061" width="11.42578125" style="30" customWidth="1"/>
    <col min="13062" max="13062" width="9.7109375" style="30" customWidth="1"/>
    <col min="13063" max="13063" width="15" style="30" customWidth="1"/>
    <col min="13064" max="13312" width="9.140625" style="30"/>
    <col min="13313" max="13313" width="34" style="30" customWidth="1"/>
    <col min="13314" max="13314" width="14.42578125" style="30" customWidth="1"/>
    <col min="13315" max="13315" width="12.7109375" style="30" customWidth="1"/>
    <col min="13316" max="13316" width="12.28515625" style="30" customWidth="1"/>
    <col min="13317" max="13317" width="11.42578125" style="30" customWidth="1"/>
    <col min="13318" max="13318" width="9.7109375" style="30" customWidth="1"/>
    <col min="13319" max="13319" width="15" style="30" customWidth="1"/>
    <col min="13320" max="13568" width="9.140625" style="30"/>
    <col min="13569" max="13569" width="34" style="30" customWidth="1"/>
    <col min="13570" max="13570" width="14.42578125" style="30" customWidth="1"/>
    <col min="13571" max="13571" width="12.7109375" style="30" customWidth="1"/>
    <col min="13572" max="13572" width="12.28515625" style="30" customWidth="1"/>
    <col min="13573" max="13573" width="11.42578125" style="30" customWidth="1"/>
    <col min="13574" max="13574" width="9.7109375" style="30" customWidth="1"/>
    <col min="13575" max="13575" width="15" style="30" customWidth="1"/>
    <col min="13576" max="13824" width="9.140625" style="30"/>
    <col min="13825" max="13825" width="34" style="30" customWidth="1"/>
    <col min="13826" max="13826" width="14.42578125" style="30" customWidth="1"/>
    <col min="13827" max="13827" width="12.7109375" style="30" customWidth="1"/>
    <col min="13828" max="13828" width="12.28515625" style="30" customWidth="1"/>
    <col min="13829" max="13829" width="11.42578125" style="30" customWidth="1"/>
    <col min="13830" max="13830" width="9.7109375" style="30" customWidth="1"/>
    <col min="13831" max="13831" width="15" style="30" customWidth="1"/>
    <col min="13832" max="14080" width="9.140625" style="30"/>
    <col min="14081" max="14081" width="34" style="30" customWidth="1"/>
    <col min="14082" max="14082" width="14.42578125" style="30" customWidth="1"/>
    <col min="14083" max="14083" width="12.7109375" style="30" customWidth="1"/>
    <col min="14084" max="14084" width="12.28515625" style="30" customWidth="1"/>
    <col min="14085" max="14085" width="11.42578125" style="30" customWidth="1"/>
    <col min="14086" max="14086" width="9.7109375" style="30" customWidth="1"/>
    <col min="14087" max="14087" width="15" style="30" customWidth="1"/>
    <col min="14088" max="14336" width="9.140625" style="30"/>
    <col min="14337" max="14337" width="34" style="30" customWidth="1"/>
    <col min="14338" max="14338" width="14.42578125" style="30" customWidth="1"/>
    <col min="14339" max="14339" width="12.7109375" style="30" customWidth="1"/>
    <col min="14340" max="14340" width="12.28515625" style="30" customWidth="1"/>
    <col min="14341" max="14341" width="11.42578125" style="30" customWidth="1"/>
    <col min="14342" max="14342" width="9.7109375" style="30" customWidth="1"/>
    <col min="14343" max="14343" width="15" style="30" customWidth="1"/>
    <col min="14344" max="14592" width="9.140625" style="30"/>
    <col min="14593" max="14593" width="34" style="30" customWidth="1"/>
    <col min="14594" max="14594" width="14.42578125" style="30" customWidth="1"/>
    <col min="14595" max="14595" width="12.7109375" style="30" customWidth="1"/>
    <col min="14596" max="14596" width="12.28515625" style="30" customWidth="1"/>
    <col min="14597" max="14597" width="11.42578125" style="30" customWidth="1"/>
    <col min="14598" max="14598" width="9.7109375" style="30" customWidth="1"/>
    <col min="14599" max="14599" width="15" style="30" customWidth="1"/>
    <col min="14600" max="14848" width="9.140625" style="30"/>
    <col min="14849" max="14849" width="34" style="30" customWidth="1"/>
    <col min="14850" max="14850" width="14.42578125" style="30" customWidth="1"/>
    <col min="14851" max="14851" width="12.7109375" style="30" customWidth="1"/>
    <col min="14852" max="14852" width="12.28515625" style="30" customWidth="1"/>
    <col min="14853" max="14853" width="11.42578125" style="30" customWidth="1"/>
    <col min="14854" max="14854" width="9.7109375" style="30" customWidth="1"/>
    <col min="14855" max="14855" width="15" style="30" customWidth="1"/>
    <col min="14856" max="15104" width="9.140625" style="30"/>
    <col min="15105" max="15105" width="34" style="30" customWidth="1"/>
    <col min="15106" max="15106" width="14.42578125" style="30" customWidth="1"/>
    <col min="15107" max="15107" width="12.7109375" style="30" customWidth="1"/>
    <col min="15108" max="15108" width="12.28515625" style="30" customWidth="1"/>
    <col min="15109" max="15109" width="11.42578125" style="30" customWidth="1"/>
    <col min="15110" max="15110" width="9.7109375" style="30" customWidth="1"/>
    <col min="15111" max="15111" width="15" style="30" customWidth="1"/>
    <col min="15112" max="15360" width="9.140625" style="30"/>
    <col min="15361" max="15361" width="34" style="30" customWidth="1"/>
    <col min="15362" max="15362" width="14.42578125" style="30" customWidth="1"/>
    <col min="15363" max="15363" width="12.7109375" style="30" customWidth="1"/>
    <col min="15364" max="15364" width="12.28515625" style="30" customWidth="1"/>
    <col min="15365" max="15365" width="11.42578125" style="30" customWidth="1"/>
    <col min="15366" max="15366" width="9.7109375" style="30" customWidth="1"/>
    <col min="15367" max="15367" width="15" style="30" customWidth="1"/>
    <col min="15368" max="15616" width="9.140625" style="30"/>
    <col min="15617" max="15617" width="34" style="30" customWidth="1"/>
    <col min="15618" max="15618" width="14.42578125" style="30" customWidth="1"/>
    <col min="15619" max="15619" width="12.7109375" style="30" customWidth="1"/>
    <col min="15620" max="15620" width="12.28515625" style="30" customWidth="1"/>
    <col min="15621" max="15621" width="11.42578125" style="30" customWidth="1"/>
    <col min="15622" max="15622" width="9.7109375" style="30" customWidth="1"/>
    <col min="15623" max="15623" width="15" style="30" customWidth="1"/>
    <col min="15624" max="15872" width="9.140625" style="30"/>
    <col min="15873" max="15873" width="34" style="30" customWidth="1"/>
    <col min="15874" max="15874" width="14.42578125" style="30" customWidth="1"/>
    <col min="15875" max="15875" width="12.7109375" style="30" customWidth="1"/>
    <col min="15876" max="15876" width="12.28515625" style="30" customWidth="1"/>
    <col min="15877" max="15877" width="11.42578125" style="30" customWidth="1"/>
    <col min="15878" max="15878" width="9.7109375" style="30" customWidth="1"/>
    <col min="15879" max="15879" width="15" style="30" customWidth="1"/>
    <col min="15880" max="16128" width="9.140625" style="30"/>
    <col min="16129" max="16129" width="34" style="30" customWidth="1"/>
    <col min="16130" max="16130" width="14.42578125" style="30" customWidth="1"/>
    <col min="16131" max="16131" width="12.7109375" style="30" customWidth="1"/>
    <col min="16132" max="16132" width="12.28515625" style="30" customWidth="1"/>
    <col min="16133" max="16133" width="11.42578125" style="30" customWidth="1"/>
    <col min="16134" max="16134" width="9.7109375" style="30" customWidth="1"/>
    <col min="16135" max="16135" width="15" style="30" customWidth="1"/>
    <col min="16136" max="16384" width="9.140625" style="30"/>
  </cols>
  <sheetData>
    <row r="1" spans="1:7" ht="15.75" customHeight="1">
      <c r="A1" s="128" t="s">
        <v>41</v>
      </c>
      <c r="B1" s="128"/>
      <c r="C1" s="128"/>
      <c r="D1" s="128"/>
      <c r="E1" s="128"/>
      <c r="F1" s="128"/>
      <c r="G1" s="128"/>
    </row>
    <row r="2" spans="1:7" ht="18.75" customHeight="1">
      <c r="A2" s="129" t="s">
        <v>42</v>
      </c>
      <c r="B2" s="129"/>
      <c r="C2" s="129"/>
      <c r="D2" s="129"/>
      <c r="E2" s="129"/>
      <c r="F2" s="129"/>
      <c r="G2" s="129"/>
    </row>
    <row r="3" spans="1:7" ht="20.25" customHeight="1">
      <c r="A3" s="129" t="s">
        <v>43</v>
      </c>
      <c r="B3" s="129"/>
      <c r="C3" s="129"/>
      <c r="D3" s="129"/>
      <c r="E3" s="129"/>
      <c r="F3" s="129"/>
      <c r="G3" s="129"/>
    </row>
    <row r="4" spans="1:7" ht="51" customHeight="1">
      <c r="A4" s="129" t="s">
        <v>97</v>
      </c>
      <c r="B4" s="129"/>
      <c r="C4" s="129"/>
      <c r="D4" s="129"/>
      <c r="E4" s="129"/>
      <c r="F4" s="129"/>
      <c r="G4" s="129"/>
    </row>
    <row r="5" spans="1:7">
      <c r="A5" s="31"/>
      <c r="B5" s="31"/>
      <c r="C5" s="31"/>
      <c r="D5" s="32" t="s">
        <v>44</v>
      </c>
      <c r="E5" s="31"/>
    </row>
    <row r="6" spans="1:7" ht="24.75" customHeight="1">
      <c r="A6" s="127" t="s">
        <v>98</v>
      </c>
      <c r="B6" s="127"/>
      <c r="C6" s="127"/>
      <c r="D6" s="127"/>
      <c r="E6" s="53">
        <v>3591</v>
      </c>
      <c r="G6" s="41"/>
    </row>
    <row r="7" spans="1:7" ht="18" customHeight="1">
      <c r="A7" s="127" t="s">
        <v>99</v>
      </c>
      <c r="B7" s="127"/>
      <c r="C7" s="127"/>
      <c r="D7" s="127"/>
      <c r="E7" s="33">
        <v>192932.16</v>
      </c>
      <c r="G7" s="41"/>
    </row>
    <row r="8" spans="1:7" ht="17.25" customHeight="1">
      <c r="A8" s="127" t="s">
        <v>100</v>
      </c>
      <c r="B8" s="127"/>
      <c r="C8" s="127"/>
      <c r="D8" s="127"/>
      <c r="E8" s="33">
        <v>180424.95</v>
      </c>
      <c r="G8" s="41"/>
    </row>
    <row r="9" spans="1:7">
      <c r="A9" s="127" t="s">
        <v>101</v>
      </c>
      <c r="B9" s="127"/>
      <c r="C9" s="127"/>
      <c r="D9" s="127"/>
      <c r="E9" s="34">
        <f>E8/E7</f>
        <v>0.93517301625607674</v>
      </c>
      <c r="G9" s="41"/>
    </row>
    <row r="10" spans="1:7" ht="27.75" customHeight="1">
      <c r="A10" s="127" t="s">
        <v>102</v>
      </c>
      <c r="B10" s="127"/>
      <c r="C10" s="127"/>
      <c r="D10" s="127"/>
      <c r="E10" s="35">
        <f>E6+E7-E8</f>
        <v>16098.209999999992</v>
      </c>
      <c r="G10" s="41"/>
    </row>
    <row r="11" spans="1:7" ht="14.25" customHeight="1">
      <c r="A11" s="127" t="s">
        <v>103</v>
      </c>
      <c r="B11" s="127"/>
      <c r="C11" s="127"/>
      <c r="D11" s="127"/>
      <c r="E11" s="36">
        <f>D32</f>
        <v>212225.02123643944</v>
      </c>
      <c r="F11" s="37"/>
      <c r="G11" s="41"/>
    </row>
    <row r="12" spans="1:7" ht="25.5" customHeight="1">
      <c r="A12" s="127" t="s">
        <v>104</v>
      </c>
      <c r="B12" s="127"/>
      <c r="C12" s="127"/>
      <c r="D12" s="127"/>
      <c r="E12" s="35">
        <f>G52</f>
        <v>3356.3793774208993</v>
      </c>
      <c r="G12" s="41"/>
    </row>
    <row r="13" spans="1:7" s="39" customFormat="1" ht="25.5" customHeight="1">
      <c r="A13" s="135" t="s">
        <v>105</v>
      </c>
      <c r="B13" s="135"/>
      <c r="C13" s="135"/>
      <c r="D13" s="135"/>
      <c r="E13" s="38">
        <f>E12+E10</f>
        <v>19454.589377420893</v>
      </c>
      <c r="F13" s="109">
        <v>19454.593929230185</v>
      </c>
      <c r="G13" s="110">
        <f>F13-E13</f>
        <v>4.5518092920247E-3</v>
      </c>
    </row>
    <row r="14" spans="1:7" ht="27" customHeight="1">
      <c r="A14" s="127" t="s">
        <v>106</v>
      </c>
      <c r="B14" s="127"/>
      <c r="C14" s="127"/>
      <c r="D14" s="127"/>
      <c r="E14" s="40">
        <f>E8-E11</f>
        <v>-31800.071236439428</v>
      </c>
      <c r="G14" s="72"/>
    </row>
    <row r="15" spans="1:7" ht="26.25" customHeight="1">
      <c r="A15" s="127" t="s">
        <v>107</v>
      </c>
      <c r="B15" s="127"/>
      <c r="C15" s="127"/>
      <c r="D15" s="127"/>
      <c r="E15" s="40">
        <f>-7572.26-643.44-19528.56-15970.27+E14</f>
        <v>-75514.601236439426</v>
      </c>
      <c r="G15" s="72"/>
    </row>
    <row r="16" spans="1:7">
      <c r="A16" s="41"/>
      <c r="B16" s="41"/>
      <c r="C16" s="41"/>
      <c r="D16" s="41"/>
      <c r="E16" s="41"/>
    </row>
    <row r="17" spans="1:8" ht="19.5" customHeight="1">
      <c r="A17" s="136" t="s">
        <v>45</v>
      </c>
      <c r="B17" s="137"/>
      <c r="C17" s="140" t="s">
        <v>108</v>
      </c>
      <c r="D17" s="141" t="s">
        <v>109</v>
      </c>
      <c r="E17" s="141"/>
    </row>
    <row r="18" spans="1:8" ht="21.75" customHeight="1">
      <c r="A18" s="138"/>
      <c r="B18" s="139"/>
      <c r="C18" s="140"/>
      <c r="D18" s="42" t="s">
        <v>46</v>
      </c>
      <c r="E18" s="43" t="s">
        <v>47</v>
      </c>
      <c r="H18" s="31"/>
    </row>
    <row r="19" spans="1:8">
      <c r="A19" s="130" t="s">
        <v>48</v>
      </c>
      <c r="B19" s="131"/>
      <c r="C19" s="132">
        <v>501.8</v>
      </c>
      <c r="D19" s="133"/>
      <c r="E19" s="134"/>
    </row>
    <row r="20" spans="1:8">
      <c r="A20" s="142" t="s">
        <v>49</v>
      </c>
      <c r="B20" s="143"/>
      <c r="C20" s="44">
        <v>0.8</v>
      </c>
      <c r="D20" s="44">
        <v>8922.2870520999295</v>
      </c>
      <c r="E20" s="44">
        <v>1.4817136727945943</v>
      </c>
    </row>
    <row r="21" spans="1:8">
      <c r="A21" s="142" t="s">
        <v>50</v>
      </c>
      <c r="B21" s="143"/>
      <c r="C21" s="44">
        <v>3.74</v>
      </c>
      <c r="D21" s="44">
        <v>24346.913085288783</v>
      </c>
      <c r="E21" s="44">
        <v>4.0432631003867376</v>
      </c>
    </row>
    <row r="22" spans="1:8" ht="23.25" customHeight="1">
      <c r="A22" s="142" t="s">
        <v>51</v>
      </c>
      <c r="B22" s="143"/>
      <c r="C22" s="44">
        <v>0.77</v>
      </c>
      <c r="D22" s="44">
        <v>2332.8313181422764</v>
      </c>
      <c r="E22" s="44">
        <v>0.38741054174011497</v>
      </c>
    </row>
    <row r="23" spans="1:8" ht="27" customHeight="1">
      <c r="A23" s="142" t="s">
        <v>52</v>
      </c>
      <c r="B23" s="143"/>
      <c r="C23" s="44">
        <v>1.19</v>
      </c>
      <c r="D23" s="44">
        <v>15487.035602581473</v>
      </c>
      <c r="E23" s="44">
        <v>2.5719137110703918</v>
      </c>
    </row>
    <row r="24" spans="1:8">
      <c r="A24" s="142" t="s">
        <v>53</v>
      </c>
      <c r="B24" s="143"/>
      <c r="C24" s="44">
        <v>0</v>
      </c>
      <c r="D24" s="44">
        <v>0</v>
      </c>
      <c r="E24" s="44">
        <v>0</v>
      </c>
    </row>
    <row r="25" spans="1:8">
      <c r="A25" s="142" t="s">
        <v>54</v>
      </c>
      <c r="B25" s="143"/>
      <c r="C25" s="44">
        <v>0.26</v>
      </c>
      <c r="D25" s="44">
        <v>0</v>
      </c>
      <c r="E25" s="44">
        <v>0</v>
      </c>
    </row>
    <row r="26" spans="1:8">
      <c r="A26" s="142" t="s">
        <v>55</v>
      </c>
      <c r="B26" s="143"/>
      <c r="C26" s="44">
        <v>0</v>
      </c>
      <c r="D26" s="44">
        <v>0</v>
      </c>
      <c r="E26" s="44">
        <v>0</v>
      </c>
    </row>
    <row r="27" spans="1:8">
      <c r="A27" s="142" t="s">
        <v>56</v>
      </c>
      <c r="B27" s="143"/>
      <c r="C27" s="44">
        <v>1.53</v>
      </c>
      <c r="D27" s="44">
        <v>11710.351971431668</v>
      </c>
      <c r="E27" s="44">
        <v>1.9447243210162861</v>
      </c>
    </row>
    <row r="28" spans="1:8">
      <c r="A28" s="142" t="s">
        <v>18</v>
      </c>
      <c r="B28" s="143"/>
      <c r="C28" s="44">
        <v>5.34</v>
      </c>
      <c r="D28" s="44">
        <v>28322.563065914692</v>
      </c>
      <c r="E28" s="44">
        <v>4.7034945971028783</v>
      </c>
    </row>
    <row r="29" spans="1:8">
      <c r="A29" s="142" t="s">
        <v>57</v>
      </c>
      <c r="B29" s="143"/>
      <c r="C29" s="44">
        <v>18.27</v>
      </c>
      <c r="D29" s="44">
        <v>115260</v>
      </c>
      <c r="E29" s="44">
        <v>19.14109206855321</v>
      </c>
    </row>
    <row r="30" spans="1:8">
      <c r="A30" s="142" t="s">
        <v>58</v>
      </c>
      <c r="B30" s="143"/>
      <c r="C30" s="44">
        <v>31.9</v>
      </c>
      <c r="D30" s="44">
        <v>206381.98209545881</v>
      </c>
      <c r="E30" s="44">
        <v>34.273612012664216</v>
      </c>
    </row>
    <row r="31" spans="1:8">
      <c r="A31" s="142" t="s">
        <v>59</v>
      </c>
      <c r="B31" s="143"/>
      <c r="C31" s="44">
        <v>0.14000000000000001</v>
      </c>
      <c r="D31" s="44">
        <v>5843.0391409806307</v>
      </c>
      <c r="E31" s="44">
        <v>0.97034660903756986</v>
      </c>
    </row>
    <row r="32" spans="1:8">
      <c r="A32" s="146" t="s">
        <v>60</v>
      </c>
      <c r="B32" s="147"/>
      <c r="C32" s="45">
        <v>32.04</v>
      </c>
      <c r="D32" s="45">
        <v>212225.02123643944</v>
      </c>
      <c r="E32" s="45">
        <v>35.243958621701786</v>
      </c>
    </row>
    <row r="33" spans="1:7">
      <c r="A33" s="46"/>
      <c r="B33" s="46"/>
      <c r="C33" s="47"/>
      <c r="D33" s="47"/>
      <c r="E33" s="47"/>
    </row>
    <row r="34" spans="1:7" ht="15">
      <c r="A34" s="148" t="s">
        <v>61</v>
      </c>
      <c r="B34" s="148"/>
      <c r="C34" s="148"/>
      <c r="D34" s="148"/>
      <c r="E34" s="148"/>
      <c r="F34" s="148"/>
      <c r="G34" s="148"/>
    </row>
    <row r="35" spans="1:7" ht="25.5">
      <c r="A35" s="140" t="s">
        <v>62</v>
      </c>
      <c r="B35" s="140"/>
      <c r="C35" s="140"/>
      <c r="D35" s="140"/>
      <c r="E35" s="48" t="s">
        <v>63</v>
      </c>
      <c r="F35" s="42" t="s">
        <v>64</v>
      </c>
    </row>
    <row r="36" spans="1:7">
      <c r="A36" s="156" t="s">
        <v>152</v>
      </c>
      <c r="B36" s="157"/>
      <c r="C36" s="157"/>
      <c r="D36" s="158"/>
      <c r="E36" s="104" t="s">
        <v>153</v>
      </c>
      <c r="F36" s="106">
        <v>115000</v>
      </c>
    </row>
    <row r="37" spans="1:7" s="49" customFormat="1" ht="15">
      <c r="A37" s="149" t="s">
        <v>136</v>
      </c>
      <c r="B37" s="150"/>
      <c r="C37" s="150"/>
      <c r="D37" s="151"/>
      <c r="E37" s="107" t="s">
        <v>154</v>
      </c>
      <c r="F37" s="105">
        <v>260</v>
      </c>
    </row>
    <row r="38" spans="1:7">
      <c r="A38" s="152" t="s">
        <v>65</v>
      </c>
      <c r="B38" s="153"/>
      <c r="C38" s="153"/>
      <c r="D38" s="154"/>
      <c r="E38" s="73"/>
      <c r="F38" s="74">
        <f>SUM(F36:F37)</f>
        <v>115260</v>
      </c>
      <c r="G38" s="108">
        <f>F38-D29</f>
        <v>0</v>
      </c>
    </row>
    <row r="39" spans="1:7">
      <c r="A39" s="50"/>
      <c r="B39" s="50"/>
      <c r="C39" s="47"/>
      <c r="D39" s="47"/>
      <c r="E39" s="47"/>
    </row>
    <row r="40" spans="1:7" ht="15">
      <c r="A40" s="155" t="s">
        <v>66</v>
      </c>
      <c r="B40" s="155"/>
      <c r="C40" s="155"/>
      <c r="D40" s="155"/>
      <c r="E40" s="155"/>
      <c r="F40" s="155"/>
      <c r="G40" s="155"/>
    </row>
    <row r="41" spans="1:7" s="39" customFormat="1" ht="19.5" customHeight="1">
      <c r="A41" s="144"/>
      <c r="B41" s="140" t="s">
        <v>67</v>
      </c>
      <c r="C41" s="145" t="s">
        <v>94</v>
      </c>
      <c r="D41" s="145"/>
      <c r="E41" s="145"/>
      <c r="F41" s="145"/>
      <c r="G41" s="140" t="s">
        <v>110</v>
      </c>
    </row>
    <row r="42" spans="1:7" s="39" customFormat="1" ht="19.5" customHeight="1">
      <c r="A42" s="144"/>
      <c r="B42" s="140"/>
      <c r="C42" s="42" t="s">
        <v>68</v>
      </c>
      <c r="D42" s="42" t="s">
        <v>69</v>
      </c>
      <c r="E42" s="42" t="s">
        <v>70</v>
      </c>
      <c r="F42" s="42" t="s">
        <v>71</v>
      </c>
      <c r="G42" s="140"/>
    </row>
    <row r="43" spans="1:7" s="39" customFormat="1" ht="23.25">
      <c r="A43" s="111" t="s">
        <v>155</v>
      </c>
      <c r="B43" s="38">
        <f>SUM(B44:B45)</f>
        <v>1947.6453338131687</v>
      </c>
      <c r="C43" s="38">
        <f>SUM(C44:C45)</f>
        <v>40090.69099722313</v>
      </c>
      <c r="D43" s="38">
        <f>SUM(D44:D45)</f>
        <v>38462.270690774145</v>
      </c>
      <c r="E43" s="38">
        <f>C43-D43</f>
        <v>1628.4203064489848</v>
      </c>
      <c r="F43" s="51">
        <f>D43/C43</f>
        <v>0.9593815854518003</v>
      </c>
      <c r="G43" s="38">
        <f>B43+C43-D43</f>
        <v>3576.0656402621535</v>
      </c>
    </row>
    <row r="44" spans="1:7">
      <c r="A44" s="52" t="s">
        <v>72</v>
      </c>
      <c r="B44" s="53">
        <v>1368.7653338131713</v>
      </c>
      <c r="C44" s="35">
        <v>24274.270997223131</v>
      </c>
      <c r="D44" s="35">
        <v>23350.030690774143</v>
      </c>
      <c r="E44" s="35">
        <f>C44-D44</f>
        <v>924.24030644898812</v>
      </c>
      <c r="F44" s="34">
        <f>D44/C44</f>
        <v>0.96192510553438593</v>
      </c>
      <c r="G44" s="35">
        <f>B44+C44-D44</f>
        <v>2293.0056402621594</v>
      </c>
    </row>
    <row r="45" spans="1:7">
      <c r="A45" s="52" t="s">
        <v>73</v>
      </c>
      <c r="B45" s="53">
        <v>578.87999999999738</v>
      </c>
      <c r="C45" s="35">
        <v>15816.42</v>
      </c>
      <c r="D45" s="35">
        <v>15112.24</v>
      </c>
      <c r="E45" s="35">
        <f>C45-D45</f>
        <v>704.18000000000029</v>
      </c>
      <c r="F45" s="34">
        <f>D45/C45</f>
        <v>0.95547791472406518</v>
      </c>
      <c r="G45" s="35">
        <f>B45+C45-D45</f>
        <v>1283.0599999999959</v>
      </c>
    </row>
    <row r="46" spans="1:7">
      <c r="A46" s="33"/>
      <c r="B46" s="53"/>
      <c r="C46" s="35"/>
      <c r="D46" s="35"/>
      <c r="E46" s="35"/>
      <c r="F46" s="54"/>
      <c r="G46" s="35"/>
    </row>
    <row r="47" spans="1:7" s="39" customFormat="1" ht="23.25">
      <c r="A47" s="112" t="s">
        <v>156</v>
      </c>
      <c r="B47" s="38">
        <f>SUM(B48:B49)</f>
        <v>10019.864043607755</v>
      </c>
      <c r="C47" s="38">
        <f>SUM(C48:C49)</f>
        <v>142988.40900277687</v>
      </c>
      <c r="D47" s="38">
        <f>SUM(D48:D49)</f>
        <v>153224.33930922588</v>
      </c>
      <c r="E47" s="38">
        <f>C47-D47</f>
        <v>-10235.930306449009</v>
      </c>
      <c r="F47" s="51">
        <f>D47/C47</f>
        <v>1.0715857346608439</v>
      </c>
      <c r="G47" s="38">
        <f>B47+C47-D47</f>
        <v>-216.06626284125377</v>
      </c>
    </row>
    <row r="48" spans="1:7">
      <c r="A48" s="33" t="s">
        <v>74</v>
      </c>
      <c r="B48" s="53">
        <v>9741.6600000000035</v>
      </c>
      <c r="C48" s="35">
        <v>126987.1</v>
      </c>
      <c r="D48" s="35">
        <v>136728.76</v>
      </c>
      <c r="E48" s="35">
        <f>C48-D48</f>
        <v>-9741.6600000000035</v>
      </c>
      <c r="F48" s="34">
        <f>D48/C48</f>
        <v>1.0767137764387091</v>
      </c>
      <c r="G48" s="35">
        <f>B48+C48-D48</f>
        <v>0</v>
      </c>
    </row>
    <row r="49" spans="1:7">
      <c r="A49" s="33" t="s">
        <v>75</v>
      </c>
      <c r="B49" s="53">
        <v>278.20404360775137</v>
      </c>
      <c r="C49" s="35">
        <v>16001.30900277687</v>
      </c>
      <c r="D49" s="35">
        <v>16495.579309225857</v>
      </c>
      <c r="E49" s="35">
        <f>C49-D49</f>
        <v>-494.27030644898696</v>
      </c>
      <c r="F49" s="34">
        <f>D49/C49</f>
        <v>1.0308893670113621</v>
      </c>
      <c r="G49" s="35">
        <f>B49+C49-D49</f>
        <v>-216.06626284123558</v>
      </c>
    </row>
    <row r="50" spans="1:7">
      <c r="A50" s="33"/>
      <c r="B50" s="53"/>
      <c r="C50" s="35"/>
      <c r="D50" s="35"/>
      <c r="E50" s="35"/>
      <c r="F50" s="34"/>
      <c r="G50" s="35"/>
    </row>
    <row r="51" spans="1:7" ht="25.5">
      <c r="A51" s="55" t="s">
        <v>76</v>
      </c>
      <c r="B51" s="53">
        <v>18.299999999999955</v>
      </c>
      <c r="C51" s="35">
        <v>1409.9699999999998</v>
      </c>
      <c r="D51" s="35">
        <v>1431.89</v>
      </c>
      <c r="E51" s="35">
        <f>C51-D51</f>
        <v>-21.9200000000003</v>
      </c>
      <c r="F51" s="34">
        <f>D51/C51</f>
        <v>1.0155464300658881</v>
      </c>
      <c r="G51" s="35">
        <f>B51+C51-D51</f>
        <v>-3.6200000000003456</v>
      </c>
    </row>
    <row r="52" spans="1:7" s="39" customFormat="1" ht="15">
      <c r="A52" s="56" t="s">
        <v>77</v>
      </c>
      <c r="B52" s="57">
        <f t="shared" ref="B52:D52" si="0">B43+B47+B51</f>
        <v>11985.809377420923</v>
      </c>
      <c r="C52" s="57">
        <f t="shared" si="0"/>
        <v>184489.07</v>
      </c>
      <c r="D52" s="57">
        <f t="shared" si="0"/>
        <v>193118.50000000003</v>
      </c>
      <c r="E52" s="57">
        <f>E43+E47+E51</f>
        <v>-8629.4300000000239</v>
      </c>
      <c r="F52" s="51">
        <f>D52/C52</f>
        <v>1.0467747493117072</v>
      </c>
      <c r="G52" s="57">
        <f>G43+G47+G51</f>
        <v>3356.3793774208993</v>
      </c>
    </row>
    <row r="53" spans="1:7" s="39" customFormat="1" ht="15">
      <c r="A53" s="58"/>
      <c r="B53" s="59"/>
      <c r="C53" s="59"/>
      <c r="D53" s="59"/>
      <c r="E53" s="59"/>
      <c r="F53" s="60"/>
      <c r="G53" s="59"/>
    </row>
    <row r="55" spans="1:7">
      <c r="A55" s="30" t="s">
        <v>78</v>
      </c>
      <c r="E55" s="30" t="s">
        <v>79</v>
      </c>
    </row>
  </sheetData>
  <mergeCells count="42">
    <mergeCell ref="A41:A42"/>
    <mergeCell ref="B41:B42"/>
    <mergeCell ref="C41:F41"/>
    <mergeCell ref="G41:G42"/>
    <mergeCell ref="A32:B32"/>
    <mergeCell ref="A34:G34"/>
    <mergeCell ref="A35:D35"/>
    <mergeCell ref="A37:D37"/>
    <mergeCell ref="A38:D38"/>
    <mergeCell ref="A40:G40"/>
    <mergeCell ref="A36:D36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C19:E19"/>
    <mergeCell ref="A8:D8"/>
    <mergeCell ref="A9:D9"/>
    <mergeCell ref="A10:D10"/>
    <mergeCell ref="A11:D11"/>
    <mergeCell ref="A12:D12"/>
    <mergeCell ref="A13:D13"/>
    <mergeCell ref="A14:D14"/>
    <mergeCell ref="A15:D15"/>
    <mergeCell ref="A17:B18"/>
    <mergeCell ref="C17:C18"/>
    <mergeCell ref="D17:E17"/>
    <mergeCell ref="A7:D7"/>
    <mergeCell ref="A1:G1"/>
    <mergeCell ref="A2:G2"/>
    <mergeCell ref="A3:G3"/>
    <mergeCell ref="A4:G4"/>
    <mergeCell ref="A6:D6"/>
  </mergeCells>
  <pageMargins left="0.91" right="0.23622047244094491" top="0.19685039370078741" bottom="0.27559055118110237" header="0.19685039370078741" footer="0.15748031496062992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>
      <selection activeCell="B23" sqref="B23:B24"/>
    </sheetView>
  </sheetViews>
  <sheetFormatPr defaultRowHeight="12.75"/>
  <cols>
    <col min="1" max="1" width="9.140625" style="90" customWidth="1"/>
    <col min="2" max="2" width="44" style="90" customWidth="1"/>
    <col min="3" max="3" width="51.140625" style="90" customWidth="1"/>
    <col min="4" max="5" width="9.5703125" style="90" customWidth="1"/>
    <col min="6" max="6" width="11.28515625" style="90" customWidth="1"/>
    <col min="7" max="7" width="8.85546875" style="90" customWidth="1"/>
    <col min="8" max="8" width="10.85546875" style="90" customWidth="1"/>
    <col min="9" max="9" width="7.140625" style="90" customWidth="1"/>
    <col min="10" max="252" width="8.85546875" style="90" customWidth="1"/>
    <col min="253" max="253" width="8.28515625" style="90" customWidth="1"/>
    <col min="254" max="254" width="13.5703125" style="90" customWidth="1"/>
    <col min="255" max="255" width="25.28515625" style="90" customWidth="1"/>
    <col min="256" max="256" width="9.5703125" style="90" customWidth="1"/>
    <col min="257" max="257" width="13.42578125" style="90" customWidth="1"/>
    <col min="258" max="258" width="9.85546875" style="90" customWidth="1"/>
    <col min="259" max="259" width="13.42578125" style="90" customWidth="1"/>
    <col min="260" max="260" width="2.7109375" style="90" customWidth="1"/>
    <col min="261" max="261" width="13.42578125" style="90" customWidth="1"/>
    <col min="262" max="508" width="8.85546875" style="90" customWidth="1"/>
    <col min="509" max="509" width="8.28515625" style="90" customWidth="1"/>
    <col min="510" max="510" width="13.5703125" style="90" customWidth="1"/>
    <col min="511" max="511" width="25.28515625" style="90" customWidth="1"/>
    <col min="512" max="512" width="9.5703125" style="90" customWidth="1"/>
    <col min="513" max="513" width="13.42578125" style="90" customWidth="1"/>
    <col min="514" max="514" width="9.85546875" style="90" customWidth="1"/>
    <col min="515" max="515" width="13.42578125" style="90" customWidth="1"/>
    <col min="516" max="516" width="2.7109375" style="90" customWidth="1"/>
    <col min="517" max="517" width="13.42578125" style="90" customWidth="1"/>
    <col min="518" max="764" width="8.85546875" style="90" customWidth="1"/>
    <col min="765" max="765" width="8.28515625" style="90" customWidth="1"/>
    <col min="766" max="766" width="13.5703125" style="90" customWidth="1"/>
    <col min="767" max="767" width="25.28515625" style="90" customWidth="1"/>
    <col min="768" max="768" width="9.5703125" style="90" customWidth="1"/>
    <col min="769" max="769" width="13.42578125" style="90" customWidth="1"/>
    <col min="770" max="770" width="9.85546875" style="90" customWidth="1"/>
    <col min="771" max="771" width="13.42578125" style="90" customWidth="1"/>
    <col min="772" max="772" width="2.7109375" style="90" customWidth="1"/>
    <col min="773" max="773" width="13.42578125" style="90" customWidth="1"/>
    <col min="774" max="1020" width="8.85546875" style="90" customWidth="1"/>
    <col min="1021" max="1021" width="8.28515625" style="90" customWidth="1"/>
    <col min="1022" max="1022" width="13.5703125" style="90" customWidth="1"/>
    <col min="1023" max="1023" width="25.28515625" style="90" customWidth="1"/>
    <col min="1024" max="1024" width="9.5703125" style="90" customWidth="1"/>
    <col min="1025" max="1025" width="13.42578125" style="90" customWidth="1"/>
    <col min="1026" max="1026" width="9.85546875" style="90" customWidth="1"/>
    <col min="1027" max="1027" width="13.42578125" style="90" customWidth="1"/>
    <col min="1028" max="1028" width="2.7109375" style="90" customWidth="1"/>
    <col min="1029" max="1029" width="13.42578125" style="90" customWidth="1"/>
    <col min="1030" max="1276" width="8.85546875" style="90" customWidth="1"/>
    <col min="1277" max="1277" width="8.28515625" style="90" customWidth="1"/>
    <col min="1278" max="1278" width="13.5703125" style="90" customWidth="1"/>
    <col min="1279" max="1279" width="25.28515625" style="90" customWidth="1"/>
    <col min="1280" max="1280" width="9.5703125" style="90" customWidth="1"/>
    <col min="1281" max="1281" width="13.42578125" style="90" customWidth="1"/>
    <col min="1282" max="1282" width="9.85546875" style="90" customWidth="1"/>
    <col min="1283" max="1283" width="13.42578125" style="90" customWidth="1"/>
    <col min="1284" max="1284" width="2.7109375" style="90" customWidth="1"/>
    <col min="1285" max="1285" width="13.42578125" style="90" customWidth="1"/>
    <col min="1286" max="1532" width="8.85546875" style="90" customWidth="1"/>
    <col min="1533" max="1533" width="8.28515625" style="90" customWidth="1"/>
    <col min="1534" max="1534" width="13.5703125" style="90" customWidth="1"/>
    <col min="1535" max="1535" width="25.28515625" style="90" customWidth="1"/>
    <col min="1536" max="1536" width="9.5703125" style="90" customWidth="1"/>
    <col min="1537" max="1537" width="13.42578125" style="90" customWidth="1"/>
    <col min="1538" max="1538" width="9.85546875" style="90" customWidth="1"/>
    <col min="1539" max="1539" width="13.42578125" style="90" customWidth="1"/>
    <col min="1540" max="1540" width="2.7109375" style="90" customWidth="1"/>
    <col min="1541" max="1541" width="13.42578125" style="90" customWidth="1"/>
    <col min="1542" max="1788" width="8.85546875" style="90" customWidth="1"/>
    <col min="1789" max="1789" width="8.28515625" style="90" customWidth="1"/>
    <col min="1790" max="1790" width="13.5703125" style="90" customWidth="1"/>
    <col min="1791" max="1791" width="25.28515625" style="90" customWidth="1"/>
    <col min="1792" max="1792" width="9.5703125" style="90" customWidth="1"/>
    <col min="1793" max="1793" width="13.42578125" style="90" customWidth="1"/>
    <col min="1794" max="1794" width="9.85546875" style="90" customWidth="1"/>
    <col min="1795" max="1795" width="13.42578125" style="90" customWidth="1"/>
    <col min="1796" max="1796" width="2.7109375" style="90" customWidth="1"/>
    <col min="1797" max="1797" width="13.42578125" style="90" customWidth="1"/>
    <col min="1798" max="2044" width="8.85546875" style="90" customWidth="1"/>
    <col min="2045" max="2045" width="8.28515625" style="90" customWidth="1"/>
    <col min="2046" max="2046" width="13.5703125" style="90" customWidth="1"/>
    <col min="2047" max="2047" width="25.28515625" style="90" customWidth="1"/>
    <col min="2048" max="2048" width="9.5703125" style="90" customWidth="1"/>
    <col min="2049" max="2049" width="13.42578125" style="90" customWidth="1"/>
    <col min="2050" max="2050" width="9.85546875" style="90" customWidth="1"/>
    <col min="2051" max="2051" width="13.42578125" style="90" customWidth="1"/>
    <col min="2052" max="2052" width="2.7109375" style="90" customWidth="1"/>
    <col min="2053" max="2053" width="13.42578125" style="90" customWidth="1"/>
    <col min="2054" max="2300" width="8.85546875" style="90" customWidth="1"/>
    <col min="2301" max="2301" width="8.28515625" style="90" customWidth="1"/>
    <col min="2302" max="2302" width="13.5703125" style="90" customWidth="1"/>
    <col min="2303" max="2303" width="25.28515625" style="90" customWidth="1"/>
    <col min="2304" max="2304" width="9.5703125" style="90" customWidth="1"/>
    <col min="2305" max="2305" width="13.42578125" style="90" customWidth="1"/>
    <col min="2306" max="2306" width="9.85546875" style="90" customWidth="1"/>
    <col min="2307" max="2307" width="13.42578125" style="90" customWidth="1"/>
    <col min="2308" max="2308" width="2.7109375" style="90" customWidth="1"/>
    <col min="2309" max="2309" width="13.42578125" style="90" customWidth="1"/>
    <col min="2310" max="2556" width="8.85546875" style="90" customWidth="1"/>
    <col min="2557" max="2557" width="8.28515625" style="90" customWidth="1"/>
    <col min="2558" max="2558" width="13.5703125" style="90" customWidth="1"/>
    <col min="2559" max="2559" width="25.28515625" style="90" customWidth="1"/>
    <col min="2560" max="2560" width="9.5703125" style="90" customWidth="1"/>
    <col min="2561" max="2561" width="13.42578125" style="90" customWidth="1"/>
    <col min="2562" max="2562" width="9.85546875" style="90" customWidth="1"/>
    <col min="2563" max="2563" width="13.42578125" style="90" customWidth="1"/>
    <col min="2564" max="2564" width="2.7109375" style="90" customWidth="1"/>
    <col min="2565" max="2565" width="13.42578125" style="90" customWidth="1"/>
    <col min="2566" max="2812" width="8.85546875" style="90" customWidth="1"/>
    <col min="2813" max="2813" width="8.28515625" style="90" customWidth="1"/>
    <col min="2814" max="2814" width="13.5703125" style="90" customWidth="1"/>
    <col min="2815" max="2815" width="25.28515625" style="90" customWidth="1"/>
    <col min="2816" max="2816" width="9.5703125" style="90" customWidth="1"/>
    <col min="2817" max="2817" width="13.42578125" style="90" customWidth="1"/>
    <col min="2818" max="2818" width="9.85546875" style="90" customWidth="1"/>
    <col min="2819" max="2819" width="13.42578125" style="90" customWidth="1"/>
    <col min="2820" max="2820" width="2.7109375" style="90" customWidth="1"/>
    <col min="2821" max="2821" width="13.42578125" style="90" customWidth="1"/>
    <col min="2822" max="3068" width="8.85546875" style="90" customWidth="1"/>
    <col min="3069" max="3069" width="8.28515625" style="90" customWidth="1"/>
    <col min="3070" max="3070" width="13.5703125" style="90" customWidth="1"/>
    <col min="3071" max="3071" width="25.28515625" style="90" customWidth="1"/>
    <col min="3072" max="3072" width="9.5703125" style="90" customWidth="1"/>
    <col min="3073" max="3073" width="13.42578125" style="90" customWidth="1"/>
    <col min="3074" max="3074" width="9.85546875" style="90" customWidth="1"/>
    <col min="3075" max="3075" width="13.42578125" style="90" customWidth="1"/>
    <col min="3076" max="3076" width="2.7109375" style="90" customWidth="1"/>
    <col min="3077" max="3077" width="13.42578125" style="90" customWidth="1"/>
    <col min="3078" max="3324" width="8.85546875" style="90" customWidth="1"/>
    <col min="3325" max="3325" width="8.28515625" style="90" customWidth="1"/>
    <col min="3326" max="3326" width="13.5703125" style="90" customWidth="1"/>
    <col min="3327" max="3327" width="25.28515625" style="90" customWidth="1"/>
    <col min="3328" max="3328" width="9.5703125" style="90" customWidth="1"/>
    <col min="3329" max="3329" width="13.42578125" style="90" customWidth="1"/>
    <col min="3330" max="3330" width="9.85546875" style="90" customWidth="1"/>
    <col min="3331" max="3331" width="13.42578125" style="90" customWidth="1"/>
    <col min="3332" max="3332" width="2.7109375" style="90" customWidth="1"/>
    <col min="3333" max="3333" width="13.42578125" style="90" customWidth="1"/>
    <col min="3334" max="3580" width="8.85546875" style="90" customWidth="1"/>
    <col min="3581" max="3581" width="8.28515625" style="90" customWidth="1"/>
    <col min="3582" max="3582" width="13.5703125" style="90" customWidth="1"/>
    <col min="3583" max="3583" width="25.28515625" style="90" customWidth="1"/>
    <col min="3584" max="3584" width="9.5703125" style="90" customWidth="1"/>
    <col min="3585" max="3585" width="13.42578125" style="90" customWidth="1"/>
    <col min="3586" max="3586" width="9.85546875" style="90" customWidth="1"/>
    <col min="3587" max="3587" width="13.42578125" style="90" customWidth="1"/>
    <col min="3588" max="3588" width="2.7109375" style="90" customWidth="1"/>
    <col min="3589" max="3589" width="13.42578125" style="90" customWidth="1"/>
    <col min="3590" max="3836" width="8.85546875" style="90" customWidth="1"/>
    <col min="3837" max="3837" width="8.28515625" style="90" customWidth="1"/>
    <col min="3838" max="3838" width="13.5703125" style="90" customWidth="1"/>
    <col min="3839" max="3839" width="25.28515625" style="90" customWidth="1"/>
    <col min="3840" max="3840" width="9.5703125" style="90" customWidth="1"/>
    <col min="3841" max="3841" width="13.42578125" style="90" customWidth="1"/>
    <col min="3842" max="3842" width="9.85546875" style="90" customWidth="1"/>
    <col min="3843" max="3843" width="13.42578125" style="90" customWidth="1"/>
    <col min="3844" max="3844" width="2.7109375" style="90" customWidth="1"/>
    <col min="3845" max="3845" width="13.42578125" style="90" customWidth="1"/>
    <col min="3846" max="4092" width="8.85546875" style="90" customWidth="1"/>
    <col min="4093" max="4093" width="8.28515625" style="90" customWidth="1"/>
    <col min="4094" max="4094" width="13.5703125" style="90" customWidth="1"/>
    <col min="4095" max="4095" width="25.28515625" style="90" customWidth="1"/>
    <col min="4096" max="4096" width="9.5703125" style="90" customWidth="1"/>
    <col min="4097" max="4097" width="13.42578125" style="90" customWidth="1"/>
    <col min="4098" max="4098" width="9.85546875" style="90" customWidth="1"/>
    <col min="4099" max="4099" width="13.42578125" style="90" customWidth="1"/>
    <col min="4100" max="4100" width="2.7109375" style="90" customWidth="1"/>
    <col min="4101" max="4101" width="13.42578125" style="90" customWidth="1"/>
    <col min="4102" max="4348" width="8.85546875" style="90" customWidth="1"/>
    <col min="4349" max="4349" width="8.28515625" style="90" customWidth="1"/>
    <col min="4350" max="4350" width="13.5703125" style="90" customWidth="1"/>
    <col min="4351" max="4351" width="25.28515625" style="90" customWidth="1"/>
    <col min="4352" max="4352" width="9.5703125" style="90" customWidth="1"/>
    <col min="4353" max="4353" width="13.42578125" style="90" customWidth="1"/>
    <col min="4354" max="4354" width="9.85546875" style="90" customWidth="1"/>
    <col min="4355" max="4355" width="13.42578125" style="90" customWidth="1"/>
    <col min="4356" max="4356" width="2.7109375" style="90" customWidth="1"/>
    <col min="4357" max="4357" width="13.42578125" style="90" customWidth="1"/>
    <col min="4358" max="4604" width="8.85546875" style="90" customWidth="1"/>
    <col min="4605" max="4605" width="8.28515625" style="90" customWidth="1"/>
    <col min="4606" max="4606" width="13.5703125" style="90" customWidth="1"/>
    <col min="4607" max="4607" width="25.28515625" style="90" customWidth="1"/>
    <col min="4608" max="4608" width="9.5703125" style="90" customWidth="1"/>
    <col min="4609" max="4609" width="13.42578125" style="90" customWidth="1"/>
    <col min="4610" max="4610" width="9.85546875" style="90" customWidth="1"/>
    <col min="4611" max="4611" width="13.42578125" style="90" customWidth="1"/>
    <col min="4612" max="4612" width="2.7109375" style="90" customWidth="1"/>
    <col min="4613" max="4613" width="13.42578125" style="90" customWidth="1"/>
    <col min="4614" max="4860" width="8.85546875" style="90" customWidth="1"/>
    <col min="4861" max="4861" width="8.28515625" style="90" customWidth="1"/>
    <col min="4862" max="4862" width="13.5703125" style="90" customWidth="1"/>
    <col min="4863" max="4863" width="25.28515625" style="90" customWidth="1"/>
    <col min="4864" max="4864" width="9.5703125" style="90" customWidth="1"/>
    <col min="4865" max="4865" width="13.42578125" style="90" customWidth="1"/>
    <col min="4866" max="4866" width="9.85546875" style="90" customWidth="1"/>
    <col min="4867" max="4867" width="13.42578125" style="90" customWidth="1"/>
    <col min="4868" max="4868" width="2.7109375" style="90" customWidth="1"/>
    <col min="4869" max="4869" width="13.42578125" style="90" customWidth="1"/>
    <col min="4870" max="5116" width="8.85546875" style="90" customWidth="1"/>
    <col min="5117" max="5117" width="8.28515625" style="90" customWidth="1"/>
    <col min="5118" max="5118" width="13.5703125" style="90" customWidth="1"/>
    <col min="5119" max="5119" width="25.28515625" style="90" customWidth="1"/>
    <col min="5120" max="5120" width="9.5703125" style="90" customWidth="1"/>
    <col min="5121" max="5121" width="13.42578125" style="90" customWidth="1"/>
    <col min="5122" max="5122" width="9.85546875" style="90" customWidth="1"/>
    <col min="5123" max="5123" width="13.42578125" style="90" customWidth="1"/>
    <col min="5124" max="5124" width="2.7109375" style="90" customWidth="1"/>
    <col min="5125" max="5125" width="13.42578125" style="90" customWidth="1"/>
    <col min="5126" max="5372" width="8.85546875" style="90" customWidth="1"/>
    <col min="5373" max="5373" width="8.28515625" style="90" customWidth="1"/>
    <col min="5374" max="5374" width="13.5703125" style="90" customWidth="1"/>
    <col min="5375" max="5375" width="25.28515625" style="90" customWidth="1"/>
    <col min="5376" max="5376" width="9.5703125" style="90" customWidth="1"/>
    <col min="5377" max="5377" width="13.42578125" style="90" customWidth="1"/>
    <col min="5378" max="5378" width="9.85546875" style="90" customWidth="1"/>
    <col min="5379" max="5379" width="13.42578125" style="90" customWidth="1"/>
    <col min="5380" max="5380" width="2.7109375" style="90" customWidth="1"/>
    <col min="5381" max="5381" width="13.42578125" style="90" customWidth="1"/>
    <col min="5382" max="5628" width="8.85546875" style="90" customWidth="1"/>
    <col min="5629" max="5629" width="8.28515625" style="90" customWidth="1"/>
    <col min="5630" max="5630" width="13.5703125" style="90" customWidth="1"/>
    <col min="5631" max="5631" width="25.28515625" style="90" customWidth="1"/>
    <col min="5632" max="5632" width="9.5703125" style="90" customWidth="1"/>
    <col min="5633" max="5633" width="13.42578125" style="90" customWidth="1"/>
    <col min="5634" max="5634" width="9.85546875" style="90" customWidth="1"/>
    <col min="5635" max="5635" width="13.42578125" style="90" customWidth="1"/>
    <col min="5636" max="5636" width="2.7109375" style="90" customWidth="1"/>
    <col min="5637" max="5637" width="13.42578125" style="90" customWidth="1"/>
    <col min="5638" max="5884" width="8.85546875" style="90" customWidth="1"/>
    <col min="5885" max="5885" width="8.28515625" style="90" customWidth="1"/>
    <col min="5886" max="5886" width="13.5703125" style="90" customWidth="1"/>
    <col min="5887" max="5887" width="25.28515625" style="90" customWidth="1"/>
    <col min="5888" max="5888" width="9.5703125" style="90" customWidth="1"/>
    <col min="5889" max="5889" width="13.42578125" style="90" customWidth="1"/>
    <col min="5890" max="5890" width="9.85546875" style="90" customWidth="1"/>
    <col min="5891" max="5891" width="13.42578125" style="90" customWidth="1"/>
    <col min="5892" max="5892" width="2.7109375" style="90" customWidth="1"/>
    <col min="5893" max="5893" width="13.42578125" style="90" customWidth="1"/>
    <col min="5894" max="6140" width="8.85546875" style="90" customWidth="1"/>
    <col min="6141" max="6141" width="8.28515625" style="90" customWidth="1"/>
    <col min="6142" max="6142" width="13.5703125" style="90" customWidth="1"/>
    <col min="6143" max="6143" width="25.28515625" style="90" customWidth="1"/>
    <col min="6144" max="6144" width="9.5703125" style="90" customWidth="1"/>
    <col min="6145" max="6145" width="13.42578125" style="90" customWidth="1"/>
    <col min="6146" max="6146" width="9.85546875" style="90" customWidth="1"/>
    <col min="6147" max="6147" width="13.42578125" style="90" customWidth="1"/>
    <col min="6148" max="6148" width="2.7109375" style="90" customWidth="1"/>
    <col min="6149" max="6149" width="13.42578125" style="90" customWidth="1"/>
    <col min="6150" max="6396" width="8.85546875" style="90" customWidth="1"/>
    <col min="6397" max="6397" width="8.28515625" style="90" customWidth="1"/>
    <col min="6398" max="6398" width="13.5703125" style="90" customWidth="1"/>
    <col min="6399" max="6399" width="25.28515625" style="90" customWidth="1"/>
    <col min="6400" max="6400" width="9.5703125" style="90" customWidth="1"/>
    <col min="6401" max="6401" width="13.42578125" style="90" customWidth="1"/>
    <col min="6402" max="6402" width="9.85546875" style="90" customWidth="1"/>
    <col min="6403" max="6403" width="13.42578125" style="90" customWidth="1"/>
    <col min="6404" max="6404" width="2.7109375" style="90" customWidth="1"/>
    <col min="6405" max="6405" width="13.42578125" style="90" customWidth="1"/>
    <col min="6406" max="6652" width="8.85546875" style="90" customWidth="1"/>
    <col min="6653" max="6653" width="8.28515625" style="90" customWidth="1"/>
    <col min="6654" max="6654" width="13.5703125" style="90" customWidth="1"/>
    <col min="6655" max="6655" width="25.28515625" style="90" customWidth="1"/>
    <col min="6656" max="6656" width="9.5703125" style="90" customWidth="1"/>
    <col min="6657" max="6657" width="13.42578125" style="90" customWidth="1"/>
    <col min="6658" max="6658" width="9.85546875" style="90" customWidth="1"/>
    <col min="6659" max="6659" width="13.42578125" style="90" customWidth="1"/>
    <col min="6660" max="6660" width="2.7109375" style="90" customWidth="1"/>
    <col min="6661" max="6661" width="13.42578125" style="90" customWidth="1"/>
    <col min="6662" max="6908" width="8.85546875" style="90" customWidth="1"/>
    <col min="6909" max="6909" width="8.28515625" style="90" customWidth="1"/>
    <col min="6910" max="6910" width="13.5703125" style="90" customWidth="1"/>
    <col min="6911" max="6911" width="25.28515625" style="90" customWidth="1"/>
    <col min="6912" max="6912" width="9.5703125" style="90" customWidth="1"/>
    <col min="6913" max="6913" width="13.42578125" style="90" customWidth="1"/>
    <col min="6914" max="6914" width="9.85546875" style="90" customWidth="1"/>
    <col min="6915" max="6915" width="13.42578125" style="90" customWidth="1"/>
    <col min="6916" max="6916" width="2.7109375" style="90" customWidth="1"/>
    <col min="6917" max="6917" width="13.42578125" style="90" customWidth="1"/>
    <col min="6918" max="7164" width="8.85546875" style="90" customWidth="1"/>
    <col min="7165" max="7165" width="8.28515625" style="90" customWidth="1"/>
    <col min="7166" max="7166" width="13.5703125" style="90" customWidth="1"/>
    <col min="7167" max="7167" width="25.28515625" style="90" customWidth="1"/>
    <col min="7168" max="7168" width="9.5703125" style="90" customWidth="1"/>
    <col min="7169" max="7169" width="13.42578125" style="90" customWidth="1"/>
    <col min="7170" max="7170" width="9.85546875" style="90" customWidth="1"/>
    <col min="7171" max="7171" width="13.42578125" style="90" customWidth="1"/>
    <col min="7172" max="7172" width="2.7109375" style="90" customWidth="1"/>
    <col min="7173" max="7173" width="13.42578125" style="90" customWidth="1"/>
    <col min="7174" max="7420" width="8.85546875" style="90" customWidth="1"/>
    <col min="7421" max="7421" width="8.28515625" style="90" customWidth="1"/>
    <col min="7422" max="7422" width="13.5703125" style="90" customWidth="1"/>
    <col min="7423" max="7423" width="25.28515625" style="90" customWidth="1"/>
    <col min="7424" max="7424" width="9.5703125" style="90" customWidth="1"/>
    <col min="7425" max="7425" width="13.42578125" style="90" customWidth="1"/>
    <col min="7426" max="7426" width="9.85546875" style="90" customWidth="1"/>
    <col min="7427" max="7427" width="13.42578125" style="90" customWidth="1"/>
    <col min="7428" max="7428" width="2.7109375" style="90" customWidth="1"/>
    <col min="7429" max="7429" width="13.42578125" style="90" customWidth="1"/>
    <col min="7430" max="7676" width="8.85546875" style="90" customWidth="1"/>
    <col min="7677" max="7677" width="8.28515625" style="90" customWidth="1"/>
    <col min="7678" max="7678" width="13.5703125" style="90" customWidth="1"/>
    <col min="7679" max="7679" width="25.28515625" style="90" customWidth="1"/>
    <col min="7680" max="7680" width="9.5703125" style="90" customWidth="1"/>
    <col min="7681" max="7681" width="13.42578125" style="90" customWidth="1"/>
    <col min="7682" max="7682" width="9.85546875" style="90" customWidth="1"/>
    <col min="7683" max="7683" width="13.42578125" style="90" customWidth="1"/>
    <col min="7684" max="7684" width="2.7109375" style="90" customWidth="1"/>
    <col min="7685" max="7685" width="13.42578125" style="90" customWidth="1"/>
    <col min="7686" max="7932" width="8.85546875" style="90" customWidth="1"/>
    <col min="7933" max="7933" width="8.28515625" style="90" customWidth="1"/>
    <col min="7934" max="7934" width="13.5703125" style="90" customWidth="1"/>
    <col min="7935" max="7935" width="25.28515625" style="90" customWidth="1"/>
    <col min="7936" max="7936" width="9.5703125" style="90" customWidth="1"/>
    <col min="7937" max="7937" width="13.42578125" style="90" customWidth="1"/>
    <col min="7938" max="7938" width="9.85546875" style="90" customWidth="1"/>
    <col min="7939" max="7939" width="13.42578125" style="90" customWidth="1"/>
    <col min="7940" max="7940" width="2.7109375" style="90" customWidth="1"/>
    <col min="7941" max="7941" width="13.42578125" style="90" customWidth="1"/>
    <col min="7942" max="8188" width="8.85546875" style="90" customWidth="1"/>
    <col min="8189" max="8189" width="8.28515625" style="90" customWidth="1"/>
    <col min="8190" max="8190" width="13.5703125" style="90" customWidth="1"/>
    <col min="8191" max="8191" width="25.28515625" style="90" customWidth="1"/>
    <col min="8192" max="8192" width="9.5703125" style="90" customWidth="1"/>
    <col min="8193" max="8193" width="13.42578125" style="90" customWidth="1"/>
    <col min="8194" max="8194" width="9.85546875" style="90" customWidth="1"/>
    <col min="8195" max="8195" width="13.42578125" style="90" customWidth="1"/>
    <col min="8196" max="8196" width="2.7109375" style="90" customWidth="1"/>
    <col min="8197" max="8197" width="13.42578125" style="90" customWidth="1"/>
    <col min="8198" max="8444" width="8.85546875" style="90" customWidth="1"/>
    <col min="8445" max="8445" width="8.28515625" style="90" customWidth="1"/>
    <col min="8446" max="8446" width="13.5703125" style="90" customWidth="1"/>
    <col min="8447" max="8447" width="25.28515625" style="90" customWidth="1"/>
    <col min="8448" max="8448" width="9.5703125" style="90" customWidth="1"/>
    <col min="8449" max="8449" width="13.42578125" style="90" customWidth="1"/>
    <col min="8450" max="8450" width="9.85546875" style="90" customWidth="1"/>
    <col min="8451" max="8451" width="13.42578125" style="90" customWidth="1"/>
    <col min="8452" max="8452" width="2.7109375" style="90" customWidth="1"/>
    <col min="8453" max="8453" width="13.42578125" style="90" customWidth="1"/>
    <col min="8454" max="8700" width="8.85546875" style="90" customWidth="1"/>
    <col min="8701" max="8701" width="8.28515625" style="90" customWidth="1"/>
    <col min="8702" max="8702" width="13.5703125" style="90" customWidth="1"/>
    <col min="8703" max="8703" width="25.28515625" style="90" customWidth="1"/>
    <col min="8704" max="8704" width="9.5703125" style="90" customWidth="1"/>
    <col min="8705" max="8705" width="13.42578125" style="90" customWidth="1"/>
    <col min="8706" max="8706" width="9.85546875" style="90" customWidth="1"/>
    <col min="8707" max="8707" width="13.42578125" style="90" customWidth="1"/>
    <col min="8708" max="8708" width="2.7109375" style="90" customWidth="1"/>
    <col min="8709" max="8709" width="13.42578125" style="90" customWidth="1"/>
    <col min="8710" max="8956" width="8.85546875" style="90" customWidth="1"/>
    <col min="8957" max="8957" width="8.28515625" style="90" customWidth="1"/>
    <col min="8958" max="8958" width="13.5703125" style="90" customWidth="1"/>
    <col min="8959" max="8959" width="25.28515625" style="90" customWidth="1"/>
    <col min="8960" max="8960" width="9.5703125" style="90" customWidth="1"/>
    <col min="8961" max="8961" width="13.42578125" style="90" customWidth="1"/>
    <col min="8962" max="8962" width="9.85546875" style="90" customWidth="1"/>
    <col min="8963" max="8963" width="13.42578125" style="90" customWidth="1"/>
    <col min="8964" max="8964" width="2.7109375" style="90" customWidth="1"/>
    <col min="8965" max="8965" width="13.42578125" style="90" customWidth="1"/>
    <col min="8966" max="9212" width="8.85546875" style="90" customWidth="1"/>
    <col min="9213" max="9213" width="8.28515625" style="90" customWidth="1"/>
    <col min="9214" max="9214" width="13.5703125" style="90" customWidth="1"/>
    <col min="9215" max="9215" width="25.28515625" style="90" customWidth="1"/>
    <col min="9216" max="9216" width="9.5703125" style="90" customWidth="1"/>
    <col min="9217" max="9217" width="13.42578125" style="90" customWidth="1"/>
    <col min="9218" max="9218" width="9.85546875" style="90" customWidth="1"/>
    <col min="9219" max="9219" width="13.42578125" style="90" customWidth="1"/>
    <col min="9220" max="9220" width="2.7109375" style="90" customWidth="1"/>
    <col min="9221" max="9221" width="13.42578125" style="90" customWidth="1"/>
    <col min="9222" max="9468" width="8.85546875" style="90" customWidth="1"/>
    <col min="9469" max="9469" width="8.28515625" style="90" customWidth="1"/>
    <col min="9470" max="9470" width="13.5703125" style="90" customWidth="1"/>
    <col min="9471" max="9471" width="25.28515625" style="90" customWidth="1"/>
    <col min="9472" max="9472" width="9.5703125" style="90" customWidth="1"/>
    <col min="9473" max="9473" width="13.42578125" style="90" customWidth="1"/>
    <col min="9474" max="9474" width="9.85546875" style="90" customWidth="1"/>
    <col min="9475" max="9475" width="13.42578125" style="90" customWidth="1"/>
    <col min="9476" max="9476" width="2.7109375" style="90" customWidth="1"/>
    <col min="9477" max="9477" width="13.42578125" style="90" customWidth="1"/>
    <col min="9478" max="9724" width="8.85546875" style="90" customWidth="1"/>
    <col min="9725" max="9725" width="8.28515625" style="90" customWidth="1"/>
    <col min="9726" max="9726" width="13.5703125" style="90" customWidth="1"/>
    <col min="9727" max="9727" width="25.28515625" style="90" customWidth="1"/>
    <col min="9728" max="9728" width="9.5703125" style="90" customWidth="1"/>
    <col min="9729" max="9729" width="13.42578125" style="90" customWidth="1"/>
    <col min="9730" max="9730" width="9.85546875" style="90" customWidth="1"/>
    <col min="9731" max="9731" width="13.42578125" style="90" customWidth="1"/>
    <col min="9732" max="9732" width="2.7109375" style="90" customWidth="1"/>
    <col min="9733" max="9733" width="13.42578125" style="90" customWidth="1"/>
    <col min="9734" max="9980" width="8.85546875" style="90" customWidth="1"/>
    <col min="9981" max="9981" width="8.28515625" style="90" customWidth="1"/>
    <col min="9982" max="9982" width="13.5703125" style="90" customWidth="1"/>
    <col min="9983" max="9983" width="25.28515625" style="90" customWidth="1"/>
    <col min="9984" max="9984" width="9.5703125" style="90" customWidth="1"/>
    <col min="9985" max="9985" width="13.42578125" style="90" customWidth="1"/>
    <col min="9986" max="9986" width="9.85546875" style="90" customWidth="1"/>
    <col min="9987" max="9987" width="13.42578125" style="90" customWidth="1"/>
    <col min="9988" max="9988" width="2.7109375" style="90" customWidth="1"/>
    <col min="9989" max="9989" width="13.42578125" style="90" customWidth="1"/>
    <col min="9990" max="10236" width="8.85546875" style="90" customWidth="1"/>
    <col min="10237" max="10237" width="8.28515625" style="90" customWidth="1"/>
    <col min="10238" max="10238" width="13.5703125" style="90" customWidth="1"/>
    <col min="10239" max="10239" width="25.28515625" style="90" customWidth="1"/>
    <col min="10240" max="10240" width="9.5703125" style="90" customWidth="1"/>
    <col min="10241" max="10241" width="13.42578125" style="90" customWidth="1"/>
    <col min="10242" max="10242" width="9.85546875" style="90" customWidth="1"/>
    <col min="10243" max="10243" width="13.42578125" style="90" customWidth="1"/>
    <col min="10244" max="10244" width="2.7109375" style="90" customWidth="1"/>
    <col min="10245" max="10245" width="13.42578125" style="90" customWidth="1"/>
    <col min="10246" max="10492" width="8.85546875" style="90" customWidth="1"/>
    <col min="10493" max="10493" width="8.28515625" style="90" customWidth="1"/>
    <col min="10494" max="10494" width="13.5703125" style="90" customWidth="1"/>
    <col min="10495" max="10495" width="25.28515625" style="90" customWidth="1"/>
    <col min="10496" max="10496" width="9.5703125" style="90" customWidth="1"/>
    <col min="10497" max="10497" width="13.42578125" style="90" customWidth="1"/>
    <col min="10498" max="10498" width="9.85546875" style="90" customWidth="1"/>
    <col min="10499" max="10499" width="13.42578125" style="90" customWidth="1"/>
    <col min="10500" max="10500" width="2.7109375" style="90" customWidth="1"/>
    <col min="10501" max="10501" width="13.42578125" style="90" customWidth="1"/>
    <col min="10502" max="10748" width="8.85546875" style="90" customWidth="1"/>
    <col min="10749" max="10749" width="8.28515625" style="90" customWidth="1"/>
    <col min="10750" max="10750" width="13.5703125" style="90" customWidth="1"/>
    <col min="10751" max="10751" width="25.28515625" style="90" customWidth="1"/>
    <col min="10752" max="10752" width="9.5703125" style="90" customWidth="1"/>
    <col min="10753" max="10753" width="13.42578125" style="90" customWidth="1"/>
    <col min="10754" max="10754" width="9.85546875" style="90" customWidth="1"/>
    <col min="10755" max="10755" width="13.42578125" style="90" customWidth="1"/>
    <col min="10756" max="10756" width="2.7109375" style="90" customWidth="1"/>
    <col min="10757" max="10757" width="13.42578125" style="90" customWidth="1"/>
    <col min="10758" max="11004" width="8.85546875" style="90" customWidth="1"/>
    <col min="11005" max="11005" width="8.28515625" style="90" customWidth="1"/>
    <col min="11006" max="11006" width="13.5703125" style="90" customWidth="1"/>
    <col min="11007" max="11007" width="25.28515625" style="90" customWidth="1"/>
    <col min="11008" max="11008" width="9.5703125" style="90" customWidth="1"/>
    <col min="11009" max="11009" width="13.42578125" style="90" customWidth="1"/>
    <col min="11010" max="11010" width="9.85546875" style="90" customWidth="1"/>
    <col min="11011" max="11011" width="13.42578125" style="90" customWidth="1"/>
    <col min="11012" max="11012" width="2.7109375" style="90" customWidth="1"/>
    <col min="11013" max="11013" width="13.42578125" style="90" customWidth="1"/>
    <col min="11014" max="11260" width="8.85546875" style="90" customWidth="1"/>
    <col min="11261" max="11261" width="8.28515625" style="90" customWidth="1"/>
    <col min="11262" max="11262" width="13.5703125" style="90" customWidth="1"/>
    <col min="11263" max="11263" width="25.28515625" style="90" customWidth="1"/>
    <col min="11264" max="11264" width="9.5703125" style="90" customWidth="1"/>
    <col min="11265" max="11265" width="13.42578125" style="90" customWidth="1"/>
    <col min="11266" max="11266" width="9.85546875" style="90" customWidth="1"/>
    <col min="11267" max="11267" width="13.42578125" style="90" customWidth="1"/>
    <col min="11268" max="11268" width="2.7109375" style="90" customWidth="1"/>
    <col min="11269" max="11269" width="13.42578125" style="90" customWidth="1"/>
    <col min="11270" max="11516" width="8.85546875" style="90" customWidth="1"/>
    <col min="11517" max="11517" width="8.28515625" style="90" customWidth="1"/>
    <col min="11518" max="11518" width="13.5703125" style="90" customWidth="1"/>
    <col min="11519" max="11519" width="25.28515625" style="90" customWidth="1"/>
    <col min="11520" max="11520" width="9.5703125" style="90" customWidth="1"/>
    <col min="11521" max="11521" width="13.42578125" style="90" customWidth="1"/>
    <col min="11522" max="11522" width="9.85546875" style="90" customWidth="1"/>
    <col min="11523" max="11523" width="13.42578125" style="90" customWidth="1"/>
    <col min="11524" max="11524" width="2.7109375" style="90" customWidth="1"/>
    <col min="11525" max="11525" width="13.42578125" style="90" customWidth="1"/>
    <col min="11526" max="11772" width="8.85546875" style="90" customWidth="1"/>
    <col min="11773" max="11773" width="8.28515625" style="90" customWidth="1"/>
    <col min="11774" max="11774" width="13.5703125" style="90" customWidth="1"/>
    <col min="11775" max="11775" width="25.28515625" style="90" customWidth="1"/>
    <col min="11776" max="11776" width="9.5703125" style="90" customWidth="1"/>
    <col min="11777" max="11777" width="13.42578125" style="90" customWidth="1"/>
    <col min="11778" max="11778" width="9.85546875" style="90" customWidth="1"/>
    <col min="11779" max="11779" width="13.42578125" style="90" customWidth="1"/>
    <col min="11780" max="11780" width="2.7109375" style="90" customWidth="1"/>
    <col min="11781" max="11781" width="13.42578125" style="90" customWidth="1"/>
    <col min="11782" max="12028" width="8.85546875" style="90" customWidth="1"/>
    <col min="12029" max="12029" width="8.28515625" style="90" customWidth="1"/>
    <col min="12030" max="12030" width="13.5703125" style="90" customWidth="1"/>
    <col min="12031" max="12031" width="25.28515625" style="90" customWidth="1"/>
    <col min="12032" max="12032" width="9.5703125" style="90" customWidth="1"/>
    <col min="12033" max="12033" width="13.42578125" style="90" customWidth="1"/>
    <col min="12034" max="12034" width="9.85546875" style="90" customWidth="1"/>
    <col min="12035" max="12035" width="13.42578125" style="90" customWidth="1"/>
    <col min="12036" max="12036" width="2.7109375" style="90" customWidth="1"/>
    <col min="12037" max="12037" width="13.42578125" style="90" customWidth="1"/>
    <col min="12038" max="12284" width="8.85546875" style="90" customWidth="1"/>
    <col min="12285" max="12285" width="8.28515625" style="90" customWidth="1"/>
    <col min="12286" max="12286" width="13.5703125" style="90" customWidth="1"/>
    <col min="12287" max="12287" width="25.28515625" style="90" customWidth="1"/>
    <col min="12288" max="12288" width="9.5703125" style="90" customWidth="1"/>
    <col min="12289" max="12289" width="13.42578125" style="90" customWidth="1"/>
    <col min="12290" max="12290" width="9.85546875" style="90" customWidth="1"/>
    <col min="12291" max="12291" width="13.42578125" style="90" customWidth="1"/>
    <col min="12292" max="12292" width="2.7109375" style="90" customWidth="1"/>
    <col min="12293" max="12293" width="13.42578125" style="90" customWidth="1"/>
    <col min="12294" max="12540" width="8.85546875" style="90" customWidth="1"/>
    <col min="12541" max="12541" width="8.28515625" style="90" customWidth="1"/>
    <col min="12542" max="12542" width="13.5703125" style="90" customWidth="1"/>
    <col min="12543" max="12543" width="25.28515625" style="90" customWidth="1"/>
    <col min="12544" max="12544" width="9.5703125" style="90" customWidth="1"/>
    <col min="12545" max="12545" width="13.42578125" style="90" customWidth="1"/>
    <col min="12546" max="12546" width="9.85546875" style="90" customWidth="1"/>
    <col min="12547" max="12547" width="13.42578125" style="90" customWidth="1"/>
    <col min="12548" max="12548" width="2.7109375" style="90" customWidth="1"/>
    <col min="12549" max="12549" width="13.42578125" style="90" customWidth="1"/>
    <col min="12550" max="12796" width="8.85546875" style="90" customWidth="1"/>
    <col min="12797" max="12797" width="8.28515625" style="90" customWidth="1"/>
    <col min="12798" max="12798" width="13.5703125" style="90" customWidth="1"/>
    <col min="12799" max="12799" width="25.28515625" style="90" customWidth="1"/>
    <col min="12800" max="12800" width="9.5703125" style="90" customWidth="1"/>
    <col min="12801" max="12801" width="13.42578125" style="90" customWidth="1"/>
    <col min="12802" max="12802" width="9.85546875" style="90" customWidth="1"/>
    <col min="12803" max="12803" width="13.42578125" style="90" customWidth="1"/>
    <col min="12804" max="12804" width="2.7109375" style="90" customWidth="1"/>
    <col min="12805" max="12805" width="13.42578125" style="90" customWidth="1"/>
    <col min="12806" max="13052" width="8.85546875" style="90" customWidth="1"/>
    <col min="13053" max="13053" width="8.28515625" style="90" customWidth="1"/>
    <col min="13054" max="13054" width="13.5703125" style="90" customWidth="1"/>
    <col min="13055" max="13055" width="25.28515625" style="90" customWidth="1"/>
    <col min="13056" max="13056" width="9.5703125" style="90" customWidth="1"/>
    <col min="13057" max="13057" width="13.42578125" style="90" customWidth="1"/>
    <col min="13058" max="13058" width="9.85546875" style="90" customWidth="1"/>
    <col min="13059" max="13059" width="13.42578125" style="90" customWidth="1"/>
    <col min="13060" max="13060" width="2.7109375" style="90" customWidth="1"/>
    <col min="13061" max="13061" width="13.42578125" style="90" customWidth="1"/>
    <col min="13062" max="13308" width="8.85546875" style="90" customWidth="1"/>
    <col min="13309" max="13309" width="8.28515625" style="90" customWidth="1"/>
    <col min="13310" max="13310" width="13.5703125" style="90" customWidth="1"/>
    <col min="13311" max="13311" width="25.28515625" style="90" customWidth="1"/>
    <col min="13312" max="13312" width="9.5703125" style="90" customWidth="1"/>
    <col min="13313" max="13313" width="13.42578125" style="90" customWidth="1"/>
    <col min="13314" max="13314" width="9.85546875" style="90" customWidth="1"/>
    <col min="13315" max="13315" width="13.42578125" style="90" customWidth="1"/>
    <col min="13316" max="13316" width="2.7109375" style="90" customWidth="1"/>
    <col min="13317" max="13317" width="13.42578125" style="90" customWidth="1"/>
    <col min="13318" max="13564" width="8.85546875" style="90" customWidth="1"/>
    <col min="13565" max="13565" width="8.28515625" style="90" customWidth="1"/>
    <col min="13566" max="13566" width="13.5703125" style="90" customWidth="1"/>
    <col min="13567" max="13567" width="25.28515625" style="90" customWidth="1"/>
    <col min="13568" max="13568" width="9.5703125" style="90" customWidth="1"/>
    <col min="13569" max="13569" width="13.42578125" style="90" customWidth="1"/>
    <col min="13570" max="13570" width="9.85546875" style="90" customWidth="1"/>
    <col min="13571" max="13571" width="13.42578125" style="90" customWidth="1"/>
    <col min="13572" max="13572" width="2.7109375" style="90" customWidth="1"/>
    <col min="13573" max="13573" width="13.42578125" style="90" customWidth="1"/>
    <col min="13574" max="13820" width="8.85546875" style="90" customWidth="1"/>
    <col min="13821" max="13821" width="8.28515625" style="90" customWidth="1"/>
    <col min="13822" max="13822" width="13.5703125" style="90" customWidth="1"/>
    <col min="13823" max="13823" width="25.28515625" style="90" customWidth="1"/>
    <col min="13824" max="13824" width="9.5703125" style="90" customWidth="1"/>
    <col min="13825" max="13825" width="13.42578125" style="90" customWidth="1"/>
    <col min="13826" max="13826" width="9.85546875" style="90" customWidth="1"/>
    <col min="13827" max="13827" width="13.42578125" style="90" customWidth="1"/>
    <col min="13828" max="13828" width="2.7109375" style="90" customWidth="1"/>
    <col min="13829" max="13829" width="13.42578125" style="90" customWidth="1"/>
    <col min="13830" max="14076" width="8.85546875" style="90" customWidth="1"/>
    <col min="14077" max="14077" width="8.28515625" style="90" customWidth="1"/>
    <col min="14078" max="14078" width="13.5703125" style="90" customWidth="1"/>
    <col min="14079" max="14079" width="25.28515625" style="90" customWidth="1"/>
    <col min="14080" max="14080" width="9.5703125" style="90" customWidth="1"/>
    <col min="14081" max="14081" width="13.42578125" style="90" customWidth="1"/>
    <col min="14082" max="14082" width="9.85546875" style="90" customWidth="1"/>
    <col min="14083" max="14083" width="13.42578125" style="90" customWidth="1"/>
    <col min="14084" max="14084" width="2.7109375" style="90" customWidth="1"/>
    <col min="14085" max="14085" width="13.42578125" style="90" customWidth="1"/>
    <col min="14086" max="14332" width="8.85546875" style="90" customWidth="1"/>
    <col min="14333" max="14333" width="8.28515625" style="90" customWidth="1"/>
    <col min="14334" max="14334" width="13.5703125" style="90" customWidth="1"/>
    <col min="14335" max="14335" width="25.28515625" style="90" customWidth="1"/>
    <col min="14336" max="14336" width="9.5703125" style="90" customWidth="1"/>
    <col min="14337" max="14337" width="13.42578125" style="90" customWidth="1"/>
    <col min="14338" max="14338" width="9.85546875" style="90" customWidth="1"/>
    <col min="14339" max="14339" width="13.42578125" style="90" customWidth="1"/>
    <col min="14340" max="14340" width="2.7109375" style="90" customWidth="1"/>
    <col min="14341" max="14341" width="13.42578125" style="90" customWidth="1"/>
    <col min="14342" max="14588" width="8.85546875" style="90" customWidth="1"/>
    <col min="14589" max="14589" width="8.28515625" style="90" customWidth="1"/>
    <col min="14590" max="14590" width="13.5703125" style="90" customWidth="1"/>
    <col min="14591" max="14591" width="25.28515625" style="90" customWidth="1"/>
    <col min="14592" max="14592" width="9.5703125" style="90" customWidth="1"/>
    <col min="14593" max="14593" width="13.42578125" style="90" customWidth="1"/>
    <col min="14594" max="14594" width="9.85546875" style="90" customWidth="1"/>
    <col min="14595" max="14595" width="13.42578125" style="90" customWidth="1"/>
    <col min="14596" max="14596" width="2.7109375" style="90" customWidth="1"/>
    <col min="14597" max="14597" width="13.42578125" style="90" customWidth="1"/>
    <col min="14598" max="14844" width="8.85546875" style="90" customWidth="1"/>
    <col min="14845" max="14845" width="8.28515625" style="90" customWidth="1"/>
    <col min="14846" max="14846" width="13.5703125" style="90" customWidth="1"/>
    <col min="14847" max="14847" width="25.28515625" style="90" customWidth="1"/>
    <col min="14848" max="14848" width="9.5703125" style="90" customWidth="1"/>
    <col min="14849" max="14849" width="13.42578125" style="90" customWidth="1"/>
    <col min="14850" max="14850" width="9.85546875" style="90" customWidth="1"/>
    <col min="14851" max="14851" width="13.42578125" style="90" customWidth="1"/>
    <col min="14852" max="14852" width="2.7109375" style="90" customWidth="1"/>
    <col min="14853" max="14853" width="13.42578125" style="90" customWidth="1"/>
    <col min="14854" max="15100" width="8.85546875" style="90" customWidth="1"/>
    <col min="15101" max="15101" width="8.28515625" style="90" customWidth="1"/>
    <col min="15102" max="15102" width="13.5703125" style="90" customWidth="1"/>
    <col min="15103" max="15103" width="25.28515625" style="90" customWidth="1"/>
    <col min="15104" max="15104" width="9.5703125" style="90" customWidth="1"/>
    <col min="15105" max="15105" width="13.42578125" style="90" customWidth="1"/>
    <col min="15106" max="15106" width="9.85546875" style="90" customWidth="1"/>
    <col min="15107" max="15107" width="13.42578125" style="90" customWidth="1"/>
    <col min="15108" max="15108" width="2.7109375" style="90" customWidth="1"/>
    <col min="15109" max="15109" width="13.42578125" style="90" customWidth="1"/>
    <col min="15110" max="15356" width="8.85546875" style="90" customWidth="1"/>
    <col min="15357" max="15357" width="8.28515625" style="90" customWidth="1"/>
    <col min="15358" max="15358" width="13.5703125" style="90" customWidth="1"/>
    <col min="15359" max="15359" width="25.28515625" style="90" customWidth="1"/>
    <col min="15360" max="15360" width="9.5703125" style="90" customWidth="1"/>
    <col min="15361" max="15361" width="13.42578125" style="90" customWidth="1"/>
    <col min="15362" max="15362" width="9.85546875" style="90" customWidth="1"/>
    <col min="15363" max="15363" width="13.42578125" style="90" customWidth="1"/>
    <col min="15364" max="15364" width="2.7109375" style="90" customWidth="1"/>
    <col min="15365" max="15365" width="13.42578125" style="90" customWidth="1"/>
    <col min="15366" max="15612" width="8.85546875" style="90" customWidth="1"/>
    <col min="15613" max="15613" width="8.28515625" style="90" customWidth="1"/>
    <col min="15614" max="15614" width="13.5703125" style="90" customWidth="1"/>
    <col min="15615" max="15615" width="25.28515625" style="90" customWidth="1"/>
    <col min="15616" max="15616" width="9.5703125" style="90" customWidth="1"/>
    <col min="15617" max="15617" width="13.42578125" style="90" customWidth="1"/>
    <col min="15618" max="15618" width="9.85546875" style="90" customWidth="1"/>
    <col min="15619" max="15619" width="13.42578125" style="90" customWidth="1"/>
    <col min="15620" max="15620" width="2.7109375" style="90" customWidth="1"/>
    <col min="15621" max="15621" width="13.42578125" style="90" customWidth="1"/>
    <col min="15622" max="15868" width="8.85546875" style="90" customWidth="1"/>
    <col min="15869" max="15869" width="8.28515625" style="90" customWidth="1"/>
    <col min="15870" max="15870" width="13.5703125" style="90" customWidth="1"/>
    <col min="15871" max="15871" width="25.28515625" style="90" customWidth="1"/>
    <col min="15872" max="15872" width="9.5703125" style="90" customWidth="1"/>
    <col min="15873" max="15873" width="13.42578125" style="90" customWidth="1"/>
    <col min="15874" max="15874" width="9.85546875" style="90" customWidth="1"/>
    <col min="15875" max="15875" width="13.42578125" style="90" customWidth="1"/>
    <col min="15876" max="15876" width="2.7109375" style="90" customWidth="1"/>
    <col min="15877" max="15877" width="13.42578125" style="90" customWidth="1"/>
    <col min="15878" max="16124" width="8.85546875" style="90" customWidth="1"/>
    <col min="16125" max="16125" width="8.28515625" style="90" customWidth="1"/>
    <col min="16126" max="16126" width="13.5703125" style="90" customWidth="1"/>
    <col min="16127" max="16127" width="25.28515625" style="90" customWidth="1"/>
    <col min="16128" max="16128" width="9.5703125" style="90" customWidth="1"/>
    <col min="16129" max="16129" width="13.42578125" style="90" customWidth="1"/>
    <col min="16130" max="16130" width="9.85546875" style="90" customWidth="1"/>
    <col min="16131" max="16131" width="13.42578125" style="90" customWidth="1"/>
    <col min="16132" max="16132" width="2.7109375" style="90" customWidth="1"/>
    <col min="16133" max="16133" width="13.42578125" style="90" customWidth="1"/>
    <col min="16134" max="16384" width="8.85546875" style="90" customWidth="1"/>
  </cols>
  <sheetData>
    <row r="1" spans="1:9" customFormat="1" ht="15">
      <c r="A1" s="164" t="s">
        <v>117</v>
      </c>
      <c r="B1" s="164"/>
      <c r="C1" s="164"/>
      <c r="D1" s="164"/>
      <c r="E1" s="164"/>
      <c r="F1" s="164"/>
    </row>
    <row r="2" spans="1:9" customFormat="1" ht="15">
      <c r="A2" s="164" t="s">
        <v>118</v>
      </c>
      <c r="B2" s="164"/>
      <c r="C2" s="164"/>
      <c r="D2" s="164"/>
      <c r="E2" s="164"/>
      <c r="F2" s="164"/>
    </row>
    <row r="3" spans="1:9" customFormat="1" ht="15">
      <c r="A3" s="85"/>
      <c r="B3" s="85"/>
      <c r="C3" s="85"/>
      <c r="D3" s="85" t="s">
        <v>119</v>
      </c>
      <c r="E3" s="85"/>
      <c r="F3" s="85"/>
    </row>
    <row r="4" spans="1:9" customFormat="1" ht="15">
      <c r="A4" s="164" t="s">
        <v>148</v>
      </c>
      <c r="B4" s="164"/>
      <c r="C4" s="164"/>
      <c r="D4" s="164"/>
      <c r="E4" s="164"/>
      <c r="F4" s="164"/>
    </row>
    <row r="5" spans="1:9" customFormat="1" ht="15.75">
      <c r="A5" s="86" t="s">
        <v>120</v>
      </c>
      <c r="B5" s="86" t="s">
        <v>62</v>
      </c>
      <c r="C5" s="86" t="s">
        <v>121</v>
      </c>
      <c r="D5" s="86" t="s">
        <v>122</v>
      </c>
      <c r="E5" s="86" t="s">
        <v>123</v>
      </c>
      <c r="F5" s="86" t="s">
        <v>124</v>
      </c>
    </row>
    <row r="6" spans="1:9" customFormat="1" ht="15">
      <c r="A6" s="159" t="s">
        <v>146</v>
      </c>
      <c r="B6" s="159"/>
      <c r="C6" s="159"/>
      <c r="D6" s="159"/>
      <c r="E6" s="159"/>
      <c r="F6" s="94">
        <v>0</v>
      </c>
    </row>
    <row r="7" spans="1:9" customFormat="1" ht="15">
      <c r="A7" s="159" t="s">
        <v>147</v>
      </c>
      <c r="B7" s="159"/>
      <c r="C7" s="159"/>
      <c r="D7" s="159"/>
      <c r="E7" s="159"/>
      <c r="F7" s="96">
        <v>0</v>
      </c>
    </row>
    <row r="8" spans="1:9" customFormat="1" ht="15">
      <c r="A8" s="159" t="s">
        <v>125</v>
      </c>
      <c r="B8" s="159"/>
      <c r="C8" s="159"/>
      <c r="D8" s="159"/>
      <c r="E8" s="159"/>
      <c r="F8" s="96">
        <v>0</v>
      </c>
    </row>
    <row r="9" spans="1:9" customFormat="1" ht="15">
      <c r="A9" s="159" t="s">
        <v>127</v>
      </c>
      <c r="B9" s="159"/>
      <c r="C9" s="159"/>
      <c r="D9" s="159"/>
      <c r="E9" s="159"/>
      <c r="F9" s="94">
        <f>SUM(F6:F8)</f>
        <v>0</v>
      </c>
    </row>
    <row r="10" spans="1:9" customFormat="1" ht="15">
      <c r="A10" s="159" t="s">
        <v>128</v>
      </c>
      <c r="B10" s="159"/>
      <c r="C10" s="159"/>
      <c r="D10" s="159"/>
      <c r="E10" s="159"/>
      <c r="F10" s="94">
        <v>0</v>
      </c>
    </row>
    <row r="11" spans="1:9" customFormat="1" ht="15">
      <c r="A11" s="159" t="s">
        <v>129</v>
      </c>
      <c r="B11" s="159"/>
      <c r="C11" s="159"/>
      <c r="D11" s="159"/>
      <c r="E11" s="159"/>
      <c r="F11" s="96">
        <v>0</v>
      </c>
    </row>
    <row r="12" spans="1:9" customFormat="1">
      <c r="A12" s="165" t="s">
        <v>130</v>
      </c>
      <c r="B12" s="160" t="s">
        <v>144</v>
      </c>
      <c r="C12" s="102" t="s">
        <v>149</v>
      </c>
      <c r="D12" s="101"/>
      <c r="E12" s="101"/>
      <c r="F12" s="103">
        <v>115000</v>
      </c>
    </row>
    <row r="13" spans="1:9" customFormat="1" ht="30">
      <c r="A13" s="166"/>
      <c r="B13" s="161"/>
      <c r="C13" s="93" t="s">
        <v>145</v>
      </c>
      <c r="D13" s="91" t="s">
        <v>126</v>
      </c>
      <c r="E13" s="91" t="s">
        <v>126</v>
      </c>
      <c r="F13" s="96">
        <f>F12</f>
        <v>115000</v>
      </c>
    </row>
    <row r="14" spans="1:9" customFormat="1" ht="15">
      <c r="A14" s="159" t="s">
        <v>130</v>
      </c>
      <c r="B14" s="159"/>
      <c r="C14" s="159"/>
      <c r="D14" s="159"/>
      <c r="E14" s="159"/>
      <c r="F14" s="96">
        <f>F13</f>
        <v>115000</v>
      </c>
    </row>
    <row r="15" spans="1:9" customFormat="1" ht="15">
      <c r="A15" s="159" t="s">
        <v>131</v>
      </c>
      <c r="B15" s="159"/>
      <c r="C15" s="159"/>
      <c r="D15" s="159"/>
      <c r="E15" s="159"/>
      <c r="F15" s="94">
        <f>F14+F11+F10</f>
        <v>115000</v>
      </c>
    </row>
    <row r="16" spans="1:9" customFormat="1" ht="15">
      <c r="A16" s="159" t="s">
        <v>132</v>
      </c>
      <c r="B16" s="159"/>
      <c r="C16" s="159"/>
      <c r="D16" s="159"/>
      <c r="E16" s="159"/>
      <c r="F16" s="94">
        <f>F15+F9</f>
        <v>115000</v>
      </c>
      <c r="G16" s="98"/>
      <c r="I16" s="95"/>
    </row>
    <row r="17" spans="1:9" customFormat="1" ht="15">
      <c r="A17" s="159" t="s">
        <v>133</v>
      </c>
      <c r="B17" s="159"/>
      <c r="C17" s="159"/>
      <c r="D17" s="159"/>
      <c r="E17" s="159"/>
      <c r="F17" s="94">
        <v>0</v>
      </c>
      <c r="I17" s="95"/>
    </row>
    <row r="18" spans="1:9" customFormat="1" ht="15">
      <c r="A18" s="159" t="s">
        <v>134</v>
      </c>
      <c r="B18" s="159"/>
      <c r="C18" s="159"/>
      <c r="D18" s="159"/>
      <c r="E18" s="159"/>
      <c r="F18" s="96">
        <v>0</v>
      </c>
      <c r="I18" s="95"/>
    </row>
    <row r="19" spans="1:9" customFormat="1" ht="15">
      <c r="A19" s="159" t="s">
        <v>135</v>
      </c>
      <c r="B19" s="159"/>
      <c r="C19" s="159"/>
      <c r="D19" s="159"/>
      <c r="E19" s="159"/>
      <c r="F19" s="96">
        <v>0</v>
      </c>
      <c r="I19" s="95"/>
    </row>
    <row r="20" spans="1:9" customFormat="1" ht="15">
      <c r="A20" s="159" t="s">
        <v>138</v>
      </c>
      <c r="B20" s="159"/>
      <c r="C20" s="159"/>
      <c r="D20" s="159"/>
      <c r="E20" s="159"/>
      <c r="F20" s="94">
        <f>SUM(F17:F19)</f>
        <v>0</v>
      </c>
      <c r="I20" s="95"/>
    </row>
    <row r="21" spans="1:9" customFormat="1" ht="15">
      <c r="A21" s="159" t="s">
        <v>150</v>
      </c>
      <c r="B21" s="159"/>
      <c r="C21" s="159"/>
      <c r="D21" s="159"/>
      <c r="E21" s="159"/>
      <c r="F21" s="94">
        <f>F20+F16</f>
        <v>115000</v>
      </c>
      <c r="G21" s="98"/>
      <c r="I21" s="95"/>
    </row>
    <row r="22" spans="1:9" ht="15">
      <c r="A22" s="159" t="s">
        <v>139</v>
      </c>
      <c r="B22" s="159"/>
      <c r="C22" s="159"/>
      <c r="D22" s="159"/>
      <c r="E22" s="159"/>
      <c r="F22" s="96">
        <v>0</v>
      </c>
    </row>
    <row r="23" spans="1:9">
      <c r="A23" s="160" t="s">
        <v>140</v>
      </c>
      <c r="B23" s="162" t="s">
        <v>136</v>
      </c>
      <c r="C23" s="87" t="s">
        <v>151</v>
      </c>
      <c r="D23" s="88">
        <v>2</v>
      </c>
      <c r="E23" s="88"/>
      <c r="F23" s="89">
        <v>260</v>
      </c>
    </row>
    <row r="24" spans="1:9" ht="15">
      <c r="A24" s="161"/>
      <c r="B24" s="163"/>
      <c r="C24" s="93" t="s">
        <v>137</v>
      </c>
      <c r="D24" s="91" t="s">
        <v>126</v>
      </c>
      <c r="E24" s="91" t="s">
        <v>126</v>
      </c>
      <c r="F24" s="92">
        <f>SUM(F23)</f>
        <v>260</v>
      </c>
    </row>
    <row r="25" spans="1:9" ht="15">
      <c r="A25" s="159" t="s">
        <v>140</v>
      </c>
      <c r="B25" s="159"/>
      <c r="C25" s="159"/>
      <c r="D25" s="159"/>
      <c r="E25" s="159"/>
      <c r="F25" s="96">
        <f>F24</f>
        <v>260</v>
      </c>
    </row>
    <row r="26" spans="1:9" ht="15">
      <c r="A26" s="159" t="s">
        <v>141</v>
      </c>
      <c r="B26" s="159"/>
      <c r="C26" s="159"/>
      <c r="D26" s="159"/>
      <c r="E26" s="159"/>
      <c r="F26" s="96">
        <v>0</v>
      </c>
    </row>
    <row r="27" spans="1:9" ht="15">
      <c r="A27" s="159" t="s">
        <v>142</v>
      </c>
      <c r="B27" s="159"/>
      <c r="C27" s="159"/>
      <c r="D27" s="159"/>
      <c r="E27" s="159"/>
      <c r="F27" s="97">
        <f>F26+F25+F22</f>
        <v>260</v>
      </c>
      <c r="H27" s="100"/>
      <c r="I27" s="99"/>
    </row>
    <row r="28" spans="1:9" ht="15">
      <c r="A28" s="159" t="s">
        <v>143</v>
      </c>
      <c r="B28" s="159"/>
      <c r="C28" s="159"/>
      <c r="D28" s="159"/>
      <c r="E28" s="159"/>
      <c r="F28" s="96">
        <f>F27+F21</f>
        <v>115260</v>
      </c>
      <c r="G28" s="99"/>
    </row>
    <row r="29" spans="1:9" customFormat="1">
      <c r="F29" s="98">
        <f>F28-'Центральная дом № 4а'!D29</f>
        <v>0</v>
      </c>
    </row>
  </sheetData>
  <mergeCells count="26">
    <mergeCell ref="A1:F1"/>
    <mergeCell ref="A2:F2"/>
    <mergeCell ref="A16:E16"/>
    <mergeCell ref="A4:F4"/>
    <mergeCell ref="A6:E6"/>
    <mergeCell ref="A7:E7"/>
    <mergeCell ref="A8:E8"/>
    <mergeCell ref="A9:E9"/>
    <mergeCell ref="A10:E10"/>
    <mergeCell ref="A11:E11"/>
    <mergeCell ref="A12:A13"/>
    <mergeCell ref="B12:B13"/>
    <mergeCell ref="A14:E14"/>
    <mergeCell ref="A15:E15"/>
    <mergeCell ref="A28:E28"/>
    <mergeCell ref="A17:E17"/>
    <mergeCell ref="A18:E18"/>
    <mergeCell ref="A19:E19"/>
    <mergeCell ref="A20:E20"/>
    <mergeCell ref="A21:E21"/>
    <mergeCell ref="A22:E22"/>
    <mergeCell ref="A23:A24"/>
    <mergeCell ref="B23:B24"/>
    <mergeCell ref="A25:E25"/>
    <mergeCell ref="A26:E26"/>
    <mergeCell ref="A27:E27"/>
  </mergeCells>
  <pageMargins left="0.70866141732283472" right="0.19685039370078741" top="0.31496062992125984" bottom="0.74803149606299213" header="0.31496062992125984" footer="0.31496062992125984"/>
  <pageSetup paperSize="9" scale="7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70" zoomScaleNormal="70" workbookViewId="0">
      <selection activeCell="T38" sqref="T38"/>
    </sheetView>
  </sheetViews>
  <sheetFormatPr defaultRowHeight="15"/>
  <cols>
    <col min="1" max="1" width="31.28515625" style="61" customWidth="1"/>
    <col min="2" max="2" width="11.140625" style="61" customWidth="1"/>
    <col min="3" max="3" width="9.7109375" style="61" customWidth="1"/>
    <col min="4" max="4" width="10.42578125" style="61" customWidth="1"/>
    <col min="5" max="5" width="10.5703125" style="61" customWidth="1"/>
    <col min="6" max="6" width="10.85546875" style="61" customWidth="1"/>
    <col min="7" max="7" width="10.140625" style="61" customWidth="1"/>
    <col min="8" max="8" width="10.7109375" style="61" customWidth="1"/>
    <col min="9" max="9" width="10" style="61" customWidth="1"/>
    <col min="10" max="10" width="11.140625" style="61" customWidth="1"/>
    <col min="11" max="11" width="10.42578125" style="61" customWidth="1"/>
    <col min="12" max="12" width="10.28515625" style="61" customWidth="1"/>
    <col min="13" max="13" width="10" style="61" customWidth="1"/>
    <col min="14" max="14" width="12.140625" style="61" customWidth="1"/>
    <col min="15" max="15" width="11.7109375" style="61" customWidth="1"/>
    <col min="16" max="16" width="11.28515625" style="61" customWidth="1"/>
    <col min="17" max="17" width="10.140625" style="61" customWidth="1"/>
    <col min="18" max="18" width="10.7109375" style="61" customWidth="1"/>
    <col min="19" max="19" width="11.85546875" style="61" customWidth="1"/>
    <col min="20" max="20" width="11.42578125" style="66" customWidth="1"/>
    <col min="21" max="16384" width="9.140625" style="61"/>
  </cols>
  <sheetData>
    <row r="1" spans="1:20">
      <c r="A1" s="167" t="s">
        <v>95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 ht="21">
      <c r="A2" s="168" t="s">
        <v>80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:20">
      <c r="A3" s="62"/>
      <c r="B3" s="70">
        <v>42005</v>
      </c>
      <c r="C3" s="70">
        <v>42036</v>
      </c>
      <c r="D3" s="70">
        <v>42064</v>
      </c>
      <c r="E3" s="71" t="s">
        <v>88</v>
      </c>
      <c r="F3" s="70">
        <v>42095</v>
      </c>
      <c r="G3" s="70">
        <v>42125</v>
      </c>
      <c r="H3" s="70">
        <v>42156</v>
      </c>
      <c r="I3" s="70" t="s">
        <v>89</v>
      </c>
      <c r="J3" s="70" t="s">
        <v>90</v>
      </c>
      <c r="K3" s="70">
        <v>42186</v>
      </c>
      <c r="L3" s="70">
        <v>42217</v>
      </c>
      <c r="M3" s="70">
        <v>42248</v>
      </c>
      <c r="N3" s="70" t="s">
        <v>91</v>
      </c>
      <c r="O3" s="70" t="s">
        <v>92</v>
      </c>
      <c r="P3" s="70">
        <v>42278</v>
      </c>
      <c r="Q3" s="70">
        <v>42309</v>
      </c>
      <c r="R3" s="70">
        <v>42339</v>
      </c>
      <c r="S3" s="71" t="s">
        <v>93</v>
      </c>
      <c r="T3" s="63" t="s">
        <v>94</v>
      </c>
    </row>
    <row r="4" spans="1:20" s="66" customFormat="1" ht="14.25" customHeight="1">
      <c r="A4" s="64" t="s">
        <v>49</v>
      </c>
      <c r="B4" s="65">
        <v>920.95961981990695</v>
      </c>
      <c r="C4" s="65">
        <v>717.42287417558668</v>
      </c>
      <c r="D4" s="65">
        <v>756.68152859390557</v>
      </c>
      <c r="E4" s="65">
        <v>2395.0640225893994</v>
      </c>
      <c r="F4" s="65">
        <v>689.28928947522922</v>
      </c>
      <c r="G4" s="65">
        <v>693.34216607841472</v>
      </c>
      <c r="H4" s="65">
        <v>700.41930658369517</v>
      </c>
      <c r="I4" s="65">
        <v>2083.050762137339</v>
      </c>
      <c r="J4" s="65">
        <v>4478.1147847267384</v>
      </c>
      <c r="K4" s="65">
        <v>679.08557381824141</v>
      </c>
      <c r="L4" s="65">
        <v>915.47685800196757</v>
      </c>
      <c r="M4" s="65">
        <v>820.96220170697256</v>
      </c>
      <c r="N4" s="65">
        <v>2415.5246335271813</v>
      </c>
      <c r="O4" s="65">
        <v>6893.6394182539207</v>
      </c>
      <c r="P4" s="65">
        <v>683.95597962481986</v>
      </c>
      <c r="Q4" s="65">
        <v>636.05210376254831</v>
      </c>
      <c r="R4" s="65">
        <v>708.63955045864191</v>
      </c>
      <c r="S4" s="65">
        <v>2028.64763384601</v>
      </c>
      <c r="T4" s="65">
        <v>8922.2870520999313</v>
      </c>
    </row>
    <row r="5" spans="1:20" ht="14.25" customHeight="1">
      <c r="A5" s="67" t="s">
        <v>81</v>
      </c>
      <c r="B5" s="68">
        <v>877.71157145536347</v>
      </c>
      <c r="C5" s="68">
        <v>673.79817737353028</v>
      </c>
      <c r="D5" s="68">
        <v>713.97281335468301</v>
      </c>
      <c r="E5" s="68">
        <v>2265.4825621835771</v>
      </c>
      <c r="F5" s="68">
        <v>668.44520408447124</v>
      </c>
      <c r="G5" s="68">
        <v>677.05701811134168</v>
      </c>
      <c r="H5" s="68">
        <v>657.1367735067746</v>
      </c>
      <c r="I5" s="68">
        <v>2002.6389957025876</v>
      </c>
      <c r="J5" s="68">
        <v>4268.1215578861647</v>
      </c>
      <c r="K5" s="68">
        <v>655.41360142116218</v>
      </c>
      <c r="L5" s="68">
        <v>897.27181349555963</v>
      </c>
      <c r="M5" s="68">
        <v>800.71724463842918</v>
      </c>
      <c r="N5" s="68">
        <v>2353.4026595551509</v>
      </c>
      <c r="O5" s="68">
        <v>6621.5242174413161</v>
      </c>
      <c r="P5" s="68">
        <v>637.90316922088186</v>
      </c>
      <c r="Q5" s="68">
        <v>620.42286313681814</v>
      </c>
      <c r="R5" s="68">
        <v>635.54176962781378</v>
      </c>
      <c r="S5" s="68">
        <v>1893.8678019855138</v>
      </c>
      <c r="T5" s="65">
        <v>8515.3920194268303</v>
      </c>
    </row>
    <row r="6" spans="1:20" ht="14.25" customHeight="1">
      <c r="A6" s="67" t="s">
        <v>82</v>
      </c>
      <c r="B6" s="68">
        <v>0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68">
        <v>0</v>
      </c>
      <c r="P6" s="68">
        <v>0</v>
      </c>
      <c r="Q6" s="68">
        <v>0</v>
      </c>
      <c r="R6" s="68">
        <v>0</v>
      </c>
      <c r="S6" s="68">
        <v>0</v>
      </c>
      <c r="T6" s="65">
        <v>0</v>
      </c>
    </row>
    <row r="7" spans="1:20" ht="14.25" customHeight="1">
      <c r="A7" s="67" t="s">
        <v>83</v>
      </c>
      <c r="B7" s="68">
        <v>43.248048364543457</v>
      </c>
      <c r="C7" s="68">
        <v>43.624696802056349</v>
      </c>
      <c r="D7" s="68">
        <v>42.70871523922257</v>
      </c>
      <c r="E7" s="68">
        <v>129.58146040582238</v>
      </c>
      <c r="F7" s="68">
        <v>20.844085390757975</v>
      </c>
      <c r="G7" s="68">
        <v>16.285147967073055</v>
      </c>
      <c r="H7" s="68">
        <v>43.282533076920579</v>
      </c>
      <c r="I7" s="68">
        <v>80.411766434751598</v>
      </c>
      <c r="J7" s="68">
        <v>209.99322684057398</v>
      </c>
      <c r="K7" s="68">
        <v>23.671972397079244</v>
      </c>
      <c r="L7" s="68">
        <v>18.20504450640794</v>
      </c>
      <c r="M7" s="68">
        <v>20.244957068543403</v>
      </c>
      <c r="N7" s="68">
        <v>62.121973972030588</v>
      </c>
      <c r="O7" s="68">
        <v>272.1152008126046</v>
      </c>
      <c r="P7" s="68">
        <v>46.052810403937954</v>
      </c>
      <c r="Q7" s="68">
        <v>15.629240625730207</v>
      </c>
      <c r="R7" s="68">
        <v>73.097780830828114</v>
      </c>
      <c r="S7" s="68">
        <v>134.77983186049627</v>
      </c>
      <c r="T7" s="65">
        <v>406.8950326731009</v>
      </c>
    </row>
    <row r="8" spans="1:20" s="66" customFormat="1" ht="28.5" customHeight="1">
      <c r="A8" s="64" t="s">
        <v>50</v>
      </c>
      <c r="B8" s="65">
        <v>2510.101989784564</v>
      </c>
      <c r="C8" s="65">
        <v>1937.3668236019207</v>
      </c>
      <c r="D8" s="65">
        <v>2049.3579628272205</v>
      </c>
      <c r="E8" s="65">
        <v>6496.8267762137048</v>
      </c>
      <c r="F8" s="65">
        <v>1899.5364597188138</v>
      </c>
      <c r="G8" s="65">
        <v>1919.1813751203906</v>
      </c>
      <c r="H8" s="65">
        <v>1899.0680093371666</v>
      </c>
      <c r="I8" s="65">
        <v>5717.7858441763701</v>
      </c>
      <c r="J8" s="65">
        <v>12214.612620390075</v>
      </c>
      <c r="K8" s="65">
        <v>1865.7384985640072</v>
      </c>
      <c r="L8" s="65">
        <v>2539.1123501267789</v>
      </c>
      <c r="M8" s="65">
        <v>2269.8774659422202</v>
      </c>
      <c r="N8" s="65">
        <v>6674.7283146330064</v>
      </c>
      <c r="O8" s="65">
        <v>18889.34093502308</v>
      </c>
      <c r="P8" s="65">
        <v>1838.9055562268034</v>
      </c>
      <c r="Q8" s="65">
        <v>1759.3528767768016</v>
      </c>
      <c r="R8" s="65">
        <v>1859.3137172620927</v>
      </c>
      <c r="S8" s="65">
        <v>5457.5721502656979</v>
      </c>
      <c r="T8" s="65">
        <v>24346.913085288776</v>
      </c>
    </row>
    <row r="9" spans="1:20" ht="14.25" customHeight="1">
      <c r="A9" s="67" t="s">
        <v>81</v>
      </c>
      <c r="B9" s="68">
        <v>2466.8539414200204</v>
      </c>
      <c r="C9" s="68">
        <v>1893.7421267998643</v>
      </c>
      <c r="D9" s="68">
        <v>2006.6492475879977</v>
      </c>
      <c r="E9" s="68">
        <v>6367.2453158078824</v>
      </c>
      <c r="F9" s="68">
        <v>1878.6923743280558</v>
      </c>
      <c r="G9" s="68">
        <v>1902.8962271533176</v>
      </c>
      <c r="H9" s="68">
        <v>1846.9095712469339</v>
      </c>
      <c r="I9" s="68">
        <v>5628.4981727283066</v>
      </c>
      <c r="J9" s="68">
        <v>11995.743488536189</v>
      </c>
      <c r="K9" s="68">
        <v>1842.0665261669278</v>
      </c>
      <c r="L9" s="68">
        <v>2520.9073056203711</v>
      </c>
      <c r="M9" s="68">
        <v>2249.6325088736767</v>
      </c>
      <c r="N9" s="68">
        <v>6612.6063406609755</v>
      </c>
      <c r="O9" s="68">
        <v>18608.349829197163</v>
      </c>
      <c r="P9" s="68">
        <v>1792.8527458228655</v>
      </c>
      <c r="Q9" s="68">
        <v>1743.7236361510713</v>
      </c>
      <c r="R9" s="68">
        <v>1786.2159364312647</v>
      </c>
      <c r="S9" s="68">
        <v>5322.7923184052015</v>
      </c>
      <c r="T9" s="65">
        <v>23931.142147602364</v>
      </c>
    </row>
    <row r="10" spans="1:20" ht="14.25" customHeight="1">
      <c r="A10" s="67" t="s">
        <v>82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5">
        <v>0</v>
      </c>
    </row>
    <row r="11" spans="1:20" ht="14.25" customHeight="1">
      <c r="A11" s="67" t="s">
        <v>83</v>
      </c>
      <c r="B11" s="68">
        <v>43.248048364543457</v>
      </c>
      <c r="C11" s="68">
        <v>43.624696802056349</v>
      </c>
      <c r="D11" s="68">
        <v>42.70871523922257</v>
      </c>
      <c r="E11" s="68">
        <v>129.58146040582238</v>
      </c>
      <c r="F11" s="68">
        <v>20.844085390757975</v>
      </c>
      <c r="G11" s="68">
        <v>16.285147967073055</v>
      </c>
      <c r="H11" s="68">
        <v>52.158438090232671</v>
      </c>
      <c r="I11" s="68">
        <v>89.287671448063691</v>
      </c>
      <c r="J11" s="68">
        <v>218.86913185388607</v>
      </c>
      <c r="K11" s="68">
        <v>23.671972397079244</v>
      </c>
      <c r="L11" s="68">
        <v>18.20504450640794</v>
      </c>
      <c r="M11" s="68">
        <v>20.244957068543403</v>
      </c>
      <c r="N11" s="68">
        <v>62.121973972030588</v>
      </c>
      <c r="O11" s="68">
        <v>280.99110582591663</v>
      </c>
      <c r="P11" s="68">
        <v>46.052810403937954</v>
      </c>
      <c r="Q11" s="68">
        <v>15.629240625730207</v>
      </c>
      <c r="R11" s="68">
        <v>73.097780830828114</v>
      </c>
      <c r="S11" s="68">
        <v>134.77983186049627</v>
      </c>
      <c r="T11" s="65">
        <v>415.77093768641294</v>
      </c>
    </row>
    <row r="12" spans="1:20" s="66" customFormat="1" ht="25.5" customHeight="1">
      <c r="A12" s="64" t="s">
        <v>51</v>
      </c>
      <c r="B12" s="65">
        <v>211.97108223635078</v>
      </c>
      <c r="C12" s="65">
        <v>173.64893149230807</v>
      </c>
      <c r="D12" s="65">
        <v>223.93017884429935</v>
      </c>
      <c r="E12" s="65">
        <v>609.55019257295817</v>
      </c>
      <c r="F12" s="65">
        <v>181.05816772235863</v>
      </c>
      <c r="G12" s="65">
        <v>225.39226655532494</v>
      </c>
      <c r="H12" s="65">
        <v>191.75147243299764</v>
      </c>
      <c r="I12" s="65">
        <v>598.20190671068121</v>
      </c>
      <c r="J12" s="65">
        <v>1207.7520992836394</v>
      </c>
      <c r="K12" s="65">
        <v>188.88958597121939</v>
      </c>
      <c r="L12" s="65">
        <v>162.25224820848626</v>
      </c>
      <c r="M12" s="65">
        <v>210.92453822842646</v>
      </c>
      <c r="N12" s="65">
        <v>562.06637240813211</v>
      </c>
      <c r="O12" s="65">
        <v>1769.8184716917717</v>
      </c>
      <c r="P12" s="65">
        <v>189.36022377702696</v>
      </c>
      <c r="Q12" s="65">
        <v>164.13064139994319</v>
      </c>
      <c r="R12" s="65">
        <v>209.52198127353486</v>
      </c>
      <c r="S12" s="65">
        <v>563.01284645050498</v>
      </c>
      <c r="T12" s="65">
        <v>2332.8313181422768</v>
      </c>
    </row>
    <row r="13" spans="1:20" ht="14.25" customHeight="1">
      <c r="A13" s="67" t="s">
        <v>81</v>
      </c>
      <c r="B13" s="68">
        <v>187.64054112686338</v>
      </c>
      <c r="C13" s="68">
        <v>149.10649503402973</v>
      </c>
      <c r="D13" s="68">
        <v>196.21857993747773</v>
      </c>
      <c r="E13" s="68">
        <v>532.9656160983709</v>
      </c>
      <c r="F13" s="68">
        <v>169.33167610787729</v>
      </c>
      <c r="G13" s="68">
        <v>216.23054765538495</v>
      </c>
      <c r="H13" s="68">
        <v>167.40153087091483</v>
      </c>
      <c r="I13" s="68">
        <v>552.96375463417712</v>
      </c>
      <c r="J13" s="68">
        <v>1085.929370732548</v>
      </c>
      <c r="K13" s="68">
        <v>175.57217814983022</v>
      </c>
      <c r="L13" s="68">
        <v>152.01043151355429</v>
      </c>
      <c r="M13" s="68">
        <v>167.75033660341296</v>
      </c>
      <c r="N13" s="68">
        <v>495.33294626679748</v>
      </c>
      <c r="O13" s="68">
        <v>1581.2623169993456</v>
      </c>
      <c r="P13" s="68">
        <v>163.45177613343191</v>
      </c>
      <c r="Q13" s="68">
        <v>152.22868889418314</v>
      </c>
      <c r="R13" s="68">
        <v>168.39854036065293</v>
      </c>
      <c r="S13" s="68">
        <v>484.07900538826794</v>
      </c>
      <c r="T13" s="65">
        <v>2065.3413223876137</v>
      </c>
    </row>
    <row r="14" spans="1:20" ht="14.25" customHeight="1">
      <c r="A14" s="67" t="s">
        <v>82</v>
      </c>
      <c r="B14" s="68">
        <v>0</v>
      </c>
      <c r="C14" s="68">
        <v>0</v>
      </c>
      <c r="D14" s="68">
        <v>3.6844765011499381</v>
      </c>
      <c r="E14" s="68">
        <v>3.6844765011499381</v>
      </c>
      <c r="F14" s="68">
        <v>0</v>
      </c>
      <c r="G14" s="68">
        <v>0</v>
      </c>
      <c r="H14" s="68">
        <v>0</v>
      </c>
      <c r="I14" s="68">
        <v>0</v>
      </c>
      <c r="J14" s="68">
        <v>3.6844765011499381</v>
      </c>
      <c r="K14" s="68">
        <v>0</v>
      </c>
      <c r="L14" s="68">
        <v>0</v>
      </c>
      <c r="M14" s="68">
        <v>0</v>
      </c>
      <c r="N14" s="68">
        <v>0</v>
      </c>
      <c r="O14" s="68">
        <v>3.6844765011499381</v>
      </c>
      <c r="P14" s="68">
        <v>0</v>
      </c>
      <c r="Q14" s="68">
        <v>3.1092347778045193</v>
      </c>
      <c r="R14" s="68">
        <v>0</v>
      </c>
      <c r="S14" s="68">
        <v>3.1092347778045193</v>
      </c>
      <c r="T14" s="65">
        <v>6.7937112789544578</v>
      </c>
    </row>
    <row r="15" spans="1:20" ht="14.25" customHeight="1">
      <c r="A15" s="67" t="s">
        <v>83</v>
      </c>
      <c r="B15" s="68">
        <v>24.330541109487399</v>
      </c>
      <c r="C15" s="68">
        <v>24.542436458278321</v>
      </c>
      <c r="D15" s="68">
        <v>24.027122405671701</v>
      </c>
      <c r="E15" s="68">
        <v>72.90009997343742</v>
      </c>
      <c r="F15" s="68">
        <v>11.726491614481347</v>
      </c>
      <c r="G15" s="68">
        <v>9.161718899939979</v>
      </c>
      <c r="H15" s="68">
        <v>24.349941562082808</v>
      </c>
      <c r="I15" s="68">
        <v>45.238152076504136</v>
      </c>
      <c r="J15" s="68">
        <v>118.13825204994156</v>
      </c>
      <c r="K15" s="68">
        <v>13.317407821389153</v>
      </c>
      <c r="L15" s="68">
        <v>10.241816694931961</v>
      </c>
      <c r="M15" s="68">
        <v>43.174201625013495</v>
      </c>
      <c r="N15" s="68">
        <v>66.733426141334604</v>
      </c>
      <c r="O15" s="68">
        <v>184.87167819127615</v>
      </c>
      <c r="P15" s="68">
        <v>25.908447643595061</v>
      </c>
      <c r="Q15" s="68">
        <v>8.7927177279555266</v>
      </c>
      <c r="R15" s="68">
        <v>41.123440912881939</v>
      </c>
      <c r="S15" s="68">
        <v>75.824606284432519</v>
      </c>
      <c r="T15" s="65">
        <v>260.69628447570869</v>
      </c>
    </row>
    <row r="16" spans="1:20" s="66" customFormat="1" ht="26.25" customHeight="1">
      <c r="A16" s="64" t="s">
        <v>52</v>
      </c>
      <c r="B16" s="65">
        <v>1152.6621351041215</v>
      </c>
      <c r="C16" s="65">
        <v>1071.8780750342023</v>
      </c>
      <c r="D16" s="65">
        <v>1330.8367449758107</v>
      </c>
      <c r="E16" s="65">
        <v>3555.3769551141345</v>
      </c>
      <c r="F16" s="65">
        <v>1375.6365907952882</v>
      </c>
      <c r="G16" s="65">
        <v>983.813125098461</v>
      </c>
      <c r="H16" s="65">
        <v>1377.8545003515712</v>
      </c>
      <c r="I16" s="65">
        <v>3737.3042162453207</v>
      </c>
      <c r="J16" s="65">
        <v>7292.6811713594552</v>
      </c>
      <c r="K16" s="65">
        <v>1148.6373798468187</v>
      </c>
      <c r="L16" s="65">
        <v>1405.0234973467027</v>
      </c>
      <c r="M16" s="65">
        <v>1419.8008948689619</v>
      </c>
      <c r="N16" s="65">
        <v>3973.4617720624833</v>
      </c>
      <c r="O16" s="65">
        <v>11266.142943421939</v>
      </c>
      <c r="P16" s="65">
        <v>1299.3832826937103</v>
      </c>
      <c r="Q16" s="65">
        <v>1381.4738694436269</v>
      </c>
      <c r="R16" s="65">
        <v>1540.0355070221956</v>
      </c>
      <c r="S16" s="65">
        <v>4220.8926591595327</v>
      </c>
      <c r="T16" s="65">
        <v>15487.035602581473</v>
      </c>
    </row>
    <row r="17" spans="1:20" ht="14.25" customHeight="1">
      <c r="A17" s="67" t="s">
        <v>81</v>
      </c>
      <c r="B17" s="68">
        <v>1055.0115766999029</v>
      </c>
      <c r="C17" s="68">
        <v>977.01403299015612</v>
      </c>
      <c r="D17" s="68">
        <v>1184.2057454203577</v>
      </c>
      <c r="E17" s="68">
        <v>3216.2313551104166</v>
      </c>
      <c r="F17" s="68">
        <v>1321.4348476764173</v>
      </c>
      <c r="G17" s="68">
        <v>934.86536893487801</v>
      </c>
      <c r="H17" s="68">
        <v>1282.4677434114951</v>
      </c>
      <c r="I17" s="68">
        <v>3538.7679600227907</v>
      </c>
      <c r="J17" s="68">
        <v>6754.9993151332073</v>
      </c>
      <c r="K17" s="68">
        <v>1084.6082203446299</v>
      </c>
      <c r="L17" s="68">
        <v>1349.599740123379</v>
      </c>
      <c r="M17" s="68">
        <v>1354.6228373494168</v>
      </c>
      <c r="N17" s="68">
        <v>3788.8307978174257</v>
      </c>
      <c r="O17" s="68">
        <v>10543.830112950633</v>
      </c>
      <c r="P17" s="68">
        <v>1194.1561723122527</v>
      </c>
      <c r="Q17" s="68">
        <v>1224.0536901899634</v>
      </c>
      <c r="R17" s="68">
        <v>1383.0717056365959</v>
      </c>
      <c r="S17" s="68">
        <v>3801.281568138812</v>
      </c>
      <c r="T17" s="65">
        <v>14345.111681089445</v>
      </c>
    </row>
    <row r="18" spans="1:20" ht="14.25" customHeight="1">
      <c r="A18" s="67" t="s">
        <v>82</v>
      </c>
      <c r="B18" s="68">
        <v>0</v>
      </c>
      <c r="C18" s="68">
        <v>0</v>
      </c>
      <c r="D18" s="68">
        <v>50.571761170521341</v>
      </c>
      <c r="E18" s="68">
        <v>50.571761170521341</v>
      </c>
      <c r="F18" s="68">
        <v>0</v>
      </c>
      <c r="G18" s="68">
        <v>0</v>
      </c>
      <c r="H18" s="68">
        <v>0</v>
      </c>
      <c r="I18" s="68">
        <v>0</v>
      </c>
      <c r="J18" s="68">
        <v>50.571761170521341</v>
      </c>
      <c r="K18" s="68">
        <v>0</v>
      </c>
      <c r="L18" s="68">
        <v>0</v>
      </c>
      <c r="M18" s="68">
        <v>0</v>
      </c>
      <c r="N18" s="68">
        <v>0</v>
      </c>
      <c r="O18" s="68">
        <v>50.571761170521341</v>
      </c>
      <c r="P18" s="68">
        <v>0.55626241291829881</v>
      </c>
      <c r="Q18" s="68">
        <v>104.7600243106743</v>
      </c>
      <c r="R18" s="68">
        <v>4.9346960066249084</v>
      </c>
      <c r="S18" s="68">
        <v>110.2509827302175</v>
      </c>
      <c r="T18" s="65">
        <v>160.82274390073883</v>
      </c>
    </row>
    <row r="19" spans="1:20" ht="14.25" customHeight="1">
      <c r="A19" s="67" t="s">
        <v>83</v>
      </c>
      <c r="B19" s="68">
        <v>97.650558404218685</v>
      </c>
      <c r="C19" s="68">
        <v>94.864042044046201</v>
      </c>
      <c r="D19" s="68">
        <v>96.059238384931561</v>
      </c>
      <c r="E19" s="68">
        <v>288.57383883319648</v>
      </c>
      <c r="F19" s="68">
        <v>54.201743118870901</v>
      </c>
      <c r="G19" s="68">
        <v>48.94775616358298</v>
      </c>
      <c r="H19" s="68">
        <v>95.386756940076182</v>
      </c>
      <c r="I19" s="68">
        <v>198.53625622253008</v>
      </c>
      <c r="J19" s="68">
        <v>487.11009505572656</v>
      </c>
      <c r="K19" s="68">
        <v>64.029159502188847</v>
      </c>
      <c r="L19" s="68">
        <v>55.423757223323832</v>
      </c>
      <c r="M19" s="68">
        <v>65.178057519544993</v>
      </c>
      <c r="N19" s="68">
        <v>184.63097424505767</v>
      </c>
      <c r="O19" s="68">
        <v>671.74106930078426</v>
      </c>
      <c r="P19" s="68">
        <v>104.67084796853914</v>
      </c>
      <c r="Q19" s="68">
        <v>52.660154942989365</v>
      </c>
      <c r="R19" s="68">
        <v>152.02910537897472</v>
      </c>
      <c r="S19" s="68">
        <v>309.36010829050321</v>
      </c>
      <c r="T19" s="65">
        <v>981.10117759128752</v>
      </c>
    </row>
    <row r="20" spans="1:20" s="66" customFormat="1" ht="27.75" customHeight="1">
      <c r="A20" s="64" t="s">
        <v>53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</row>
    <row r="21" spans="1:20" ht="14.25" customHeight="1">
      <c r="A21" s="67" t="s">
        <v>81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5">
        <v>0</v>
      </c>
    </row>
    <row r="22" spans="1:20" ht="14.25" customHeight="1">
      <c r="A22" s="67" t="s">
        <v>82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5">
        <v>0</v>
      </c>
    </row>
    <row r="23" spans="1:20" ht="14.25" customHeight="1">
      <c r="A23" s="67" t="s">
        <v>83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5">
        <v>0</v>
      </c>
    </row>
    <row r="24" spans="1:20" s="66" customFormat="1" ht="14.25" customHeight="1">
      <c r="A24" s="64" t="s">
        <v>54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</row>
    <row r="25" spans="1:20" s="66" customFormat="1" ht="14.25" customHeight="1">
      <c r="A25" s="64" t="s">
        <v>84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</row>
    <row r="26" spans="1:20" s="66" customFormat="1" ht="14.25" customHeight="1">
      <c r="A26" s="64" t="s">
        <v>56</v>
      </c>
      <c r="B26" s="65">
        <v>996.51484329827099</v>
      </c>
      <c r="C26" s="65">
        <v>857.87181268275128</v>
      </c>
      <c r="D26" s="65">
        <v>922.60676050195116</v>
      </c>
      <c r="E26" s="65">
        <v>2776.9934164829738</v>
      </c>
      <c r="F26" s="65">
        <v>991.31029028422552</v>
      </c>
      <c r="G26" s="65">
        <v>1006.4553594912313</v>
      </c>
      <c r="H26" s="65">
        <v>1056.2476216900197</v>
      </c>
      <c r="I26" s="65">
        <v>3054.0132714654765</v>
      </c>
      <c r="J26" s="65">
        <v>5831.0066879484502</v>
      </c>
      <c r="K26" s="65">
        <v>954.59417895358649</v>
      </c>
      <c r="L26" s="65">
        <v>1011.6584585428307</v>
      </c>
      <c r="M26" s="65">
        <v>941.6249483972075</v>
      </c>
      <c r="N26" s="65">
        <v>2907.8775858936247</v>
      </c>
      <c r="O26" s="65">
        <v>8738.8842738420772</v>
      </c>
      <c r="P26" s="65">
        <v>1061.1542882639417</v>
      </c>
      <c r="Q26" s="65">
        <v>1032.4897222062446</v>
      </c>
      <c r="R26" s="65">
        <v>877.82368711940774</v>
      </c>
      <c r="S26" s="65">
        <v>2971.4676975895941</v>
      </c>
      <c r="T26" s="65">
        <v>11710.35197143167</v>
      </c>
    </row>
    <row r="27" spans="1:20" ht="14.25" customHeight="1">
      <c r="A27" s="67" t="s">
        <v>81</v>
      </c>
      <c r="B27" s="68">
        <v>158.37946455643493</v>
      </c>
      <c r="C27" s="68">
        <v>105.00429476880005</v>
      </c>
      <c r="D27" s="68">
        <v>124.42860500462167</v>
      </c>
      <c r="E27" s="68">
        <v>387.81236432985662</v>
      </c>
      <c r="F27" s="68">
        <v>153.19083952176163</v>
      </c>
      <c r="G27" s="68">
        <v>110.71535721299979</v>
      </c>
      <c r="H27" s="68">
        <v>186.86905730132523</v>
      </c>
      <c r="I27" s="68">
        <v>450.77525403608661</v>
      </c>
      <c r="J27" s="68">
        <v>838.58761836594317</v>
      </c>
      <c r="K27" s="68">
        <v>102.13900679027361</v>
      </c>
      <c r="L27" s="68">
        <v>117.54570551703965</v>
      </c>
      <c r="M27" s="68">
        <v>92.29827754838189</v>
      </c>
      <c r="N27" s="68">
        <v>311.98298985569511</v>
      </c>
      <c r="O27" s="68">
        <v>1150.5706082216384</v>
      </c>
      <c r="P27" s="68">
        <v>169.86463947886136</v>
      </c>
      <c r="Q27" s="68">
        <v>108.46643886270418</v>
      </c>
      <c r="R27" s="68">
        <v>108.09279735522021</v>
      </c>
      <c r="S27" s="68">
        <v>386.42387569678579</v>
      </c>
      <c r="T27" s="65">
        <v>1536.9944839184241</v>
      </c>
    </row>
    <row r="28" spans="1:20" ht="14.25" customHeight="1">
      <c r="A28" s="67" t="s">
        <v>82</v>
      </c>
      <c r="B28" s="68">
        <v>0</v>
      </c>
      <c r="C28" s="68">
        <v>0</v>
      </c>
      <c r="D28" s="68">
        <v>3.6530567209001661</v>
      </c>
      <c r="E28" s="68">
        <v>3.6530567209001661</v>
      </c>
      <c r="F28" s="68">
        <v>0</v>
      </c>
      <c r="G28" s="68">
        <v>0</v>
      </c>
      <c r="H28" s="68">
        <v>0</v>
      </c>
      <c r="I28" s="68">
        <v>0</v>
      </c>
      <c r="J28" s="68">
        <v>3.6530567209001661</v>
      </c>
      <c r="K28" s="68">
        <v>0</v>
      </c>
      <c r="L28" s="68">
        <v>0</v>
      </c>
      <c r="M28" s="68">
        <v>0.77689689137011164</v>
      </c>
      <c r="N28" s="68">
        <v>0.77689689137011164</v>
      </c>
      <c r="O28" s="68">
        <v>4.4299536122702774</v>
      </c>
      <c r="P28" s="68">
        <v>1.0822939651467287</v>
      </c>
      <c r="Q28" s="68">
        <v>6.4088522433165407</v>
      </c>
      <c r="R28" s="68">
        <v>0.59087932583078917</v>
      </c>
      <c r="S28" s="68">
        <v>8.0820255342940577</v>
      </c>
      <c r="T28" s="65">
        <v>12.511979146564336</v>
      </c>
    </row>
    <row r="29" spans="1:20" ht="14.25" customHeight="1">
      <c r="A29" s="67" t="s">
        <v>85</v>
      </c>
      <c r="B29" s="68">
        <v>838.13537874183601</v>
      </c>
      <c r="C29" s="68">
        <v>752.86751791395125</v>
      </c>
      <c r="D29" s="68">
        <v>794.52509877642933</v>
      </c>
      <c r="E29" s="68">
        <v>2385.5279954322168</v>
      </c>
      <c r="F29" s="68">
        <v>836.18267963890742</v>
      </c>
      <c r="G29" s="68">
        <v>895.74000227823149</v>
      </c>
      <c r="H29" s="68">
        <v>869.3785643886946</v>
      </c>
      <c r="I29" s="68">
        <v>2601.3012463058335</v>
      </c>
      <c r="J29" s="68">
        <v>4986.8292417380508</v>
      </c>
      <c r="K29" s="68">
        <v>852.45517216331291</v>
      </c>
      <c r="L29" s="68">
        <v>894.11275302579099</v>
      </c>
      <c r="M29" s="68">
        <v>848.5497739574555</v>
      </c>
      <c r="N29" s="68">
        <v>2595.1176991465595</v>
      </c>
      <c r="O29" s="68">
        <v>7581.9469408846107</v>
      </c>
      <c r="P29" s="68">
        <v>890.20735481993358</v>
      </c>
      <c r="Q29" s="68">
        <v>894.11275302579099</v>
      </c>
      <c r="R29" s="68">
        <v>769.14001043835674</v>
      </c>
      <c r="S29" s="68">
        <v>2553.4601182840815</v>
      </c>
      <c r="T29" s="65">
        <v>10135.407059168692</v>
      </c>
    </row>
    <row r="30" spans="1:20" ht="14.25" customHeight="1">
      <c r="A30" s="67" t="s">
        <v>83</v>
      </c>
      <c r="B30" s="68">
        <v>0</v>
      </c>
      <c r="C30" s="68">
        <v>0</v>
      </c>
      <c r="D30" s="68">
        <v>0</v>
      </c>
      <c r="E30" s="68">
        <v>0</v>
      </c>
      <c r="F30" s="68">
        <v>1.9367711235564755</v>
      </c>
      <c r="G30" s="68">
        <v>0</v>
      </c>
      <c r="H30" s="68">
        <v>0</v>
      </c>
      <c r="I30" s="68">
        <v>1.9367711235564755</v>
      </c>
      <c r="J30" s="68">
        <v>1.9367711235564755</v>
      </c>
      <c r="K30" s="68">
        <v>0</v>
      </c>
      <c r="L30" s="68">
        <v>0</v>
      </c>
      <c r="M30" s="68">
        <v>0</v>
      </c>
      <c r="N30" s="68">
        <v>0</v>
      </c>
      <c r="O30" s="68">
        <v>1.9367711235564755</v>
      </c>
      <c r="P30" s="68">
        <v>0</v>
      </c>
      <c r="Q30" s="68">
        <v>23.501678074432757</v>
      </c>
      <c r="R30" s="68">
        <v>0</v>
      </c>
      <c r="S30" s="68">
        <v>23.501678074432757</v>
      </c>
      <c r="T30" s="65">
        <v>25.438449197989232</v>
      </c>
    </row>
    <row r="31" spans="1:20" s="66" customFormat="1" ht="26.25" customHeight="1">
      <c r="A31" s="64" t="s">
        <v>18</v>
      </c>
      <c r="B31" s="65">
        <v>2789.7595375699866</v>
      </c>
      <c r="C31" s="65">
        <v>2346.0084612027176</v>
      </c>
      <c r="D31" s="65">
        <v>2642.4626027842887</v>
      </c>
      <c r="E31" s="65">
        <v>7778.230601556993</v>
      </c>
      <c r="F31" s="65">
        <v>2288.5887885172606</v>
      </c>
      <c r="G31" s="65">
        <v>2252.0525387403118</v>
      </c>
      <c r="H31" s="65">
        <v>2248.716255103358</v>
      </c>
      <c r="I31" s="65">
        <v>6789.3575823609299</v>
      </c>
      <c r="J31" s="65">
        <v>14567.588183917924</v>
      </c>
      <c r="K31" s="65">
        <v>2222.2035207706954</v>
      </c>
      <c r="L31" s="65">
        <v>2279.2589531941248</v>
      </c>
      <c r="M31" s="65">
        <v>2114.0097978971153</v>
      </c>
      <c r="N31" s="65">
        <v>6615.472271861935</v>
      </c>
      <c r="O31" s="65">
        <v>21183.060455779858</v>
      </c>
      <c r="P31" s="65">
        <v>2195.8266680121214</v>
      </c>
      <c r="Q31" s="65">
        <v>2287.513082583238</v>
      </c>
      <c r="R31" s="65">
        <v>2656.162859539475</v>
      </c>
      <c r="S31" s="65">
        <v>7139.502610134834</v>
      </c>
      <c r="T31" s="65">
        <v>28322.563065914692</v>
      </c>
    </row>
    <row r="32" spans="1:20" ht="14.25" customHeight="1">
      <c r="A32" s="67" t="s">
        <v>81</v>
      </c>
      <c r="B32" s="68">
        <v>2410.1841297611563</v>
      </c>
      <c r="C32" s="68">
        <v>1799.5735135249281</v>
      </c>
      <c r="D32" s="68">
        <v>1831.1477785236345</v>
      </c>
      <c r="E32" s="68">
        <v>6040.905421809719</v>
      </c>
      <c r="F32" s="68">
        <v>1828.2361720185977</v>
      </c>
      <c r="G32" s="68">
        <v>1812.820349090819</v>
      </c>
      <c r="H32" s="68">
        <v>1865.89942162329</v>
      </c>
      <c r="I32" s="68">
        <v>5506.9559427327067</v>
      </c>
      <c r="J32" s="68">
        <v>11547.861364542427</v>
      </c>
      <c r="K32" s="68">
        <v>1914.7306441535959</v>
      </c>
      <c r="L32" s="68">
        <v>1865.4130478287568</v>
      </c>
      <c r="M32" s="68">
        <v>1852.1879406696203</v>
      </c>
      <c r="N32" s="68">
        <v>5632.3316326519725</v>
      </c>
      <c r="O32" s="68">
        <v>17180.192997194397</v>
      </c>
      <c r="P32" s="68">
        <v>1859.5764552578744</v>
      </c>
      <c r="Q32" s="68">
        <v>1953.6594931743446</v>
      </c>
      <c r="R32" s="68">
        <v>1983.473971298949</v>
      </c>
      <c r="S32" s="68">
        <v>5796.7099197311672</v>
      </c>
      <c r="T32" s="65">
        <v>22976.902916925566</v>
      </c>
    </row>
    <row r="33" spans="1:20" ht="14.25" customHeight="1">
      <c r="A33" s="67" t="s">
        <v>86</v>
      </c>
      <c r="B33" s="68">
        <v>379.57540780883011</v>
      </c>
      <c r="C33" s="68">
        <v>546.43494767778964</v>
      </c>
      <c r="D33" s="68">
        <v>811.31482426065395</v>
      </c>
      <c r="E33" s="68">
        <v>1737.3251797472738</v>
      </c>
      <c r="F33" s="68">
        <v>460.352616498663</v>
      </c>
      <c r="G33" s="68">
        <v>439.23218964949274</v>
      </c>
      <c r="H33" s="68">
        <v>382.81683348006788</v>
      </c>
      <c r="I33" s="68">
        <v>1282.4016396282236</v>
      </c>
      <c r="J33" s="68">
        <v>3019.7268193754971</v>
      </c>
      <c r="K33" s="68">
        <v>307.47287661709959</v>
      </c>
      <c r="L33" s="68">
        <v>413.84590536536803</v>
      </c>
      <c r="M33" s="68">
        <v>261.82185722749523</v>
      </c>
      <c r="N33" s="68">
        <v>983.14063920996284</v>
      </c>
      <c r="O33" s="68">
        <v>4002.8674585854601</v>
      </c>
      <c r="P33" s="68">
        <v>336.25021275424723</v>
      </c>
      <c r="Q33" s="68">
        <v>333.85358940889324</v>
      </c>
      <c r="R33" s="68">
        <v>672.68888824052624</v>
      </c>
      <c r="S33" s="68">
        <v>1342.7926904036667</v>
      </c>
      <c r="T33" s="65">
        <v>5345.6601489891273</v>
      </c>
    </row>
    <row r="34" spans="1:20" s="66" customFormat="1" ht="14.25" customHeight="1">
      <c r="A34" s="64" t="s">
        <v>87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115000</v>
      </c>
      <c r="H34" s="65">
        <v>0</v>
      </c>
      <c r="I34" s="65">
        <v>115000</v>
      </c>
      <c r="J34" s="65">
        <v>115000</v>
      </c>
      <c r="K34" s="65">
        <v>0</v>
      </c>
      <c r="L34" s="65">
        <v>0</v>
      </c>
      <c r="M34" s="65">
        <v>0</v>
      </c>
      <c r="N34" s="65">
        <v>0</v>
      </c>
      <c r="O34" s="65">
        <v>115000</v>
      </c>
      <c r="P34" s="65">
        <v>0</v>
      </c>
      <c r="Q34" s="65">
        <v>260</v>
      </c>
      <c r="R34" s="65">
        <v>0</v>
      </c>
      <c r="S34" s="65">
        <v>260</v>
      </c>
      <c r="T34" s="65">
        <v>115260</v>
      </c>
    </row>
    <row r="35" spans="1:20" s="66" customFormat="1" ht="14.25" customHeight="1">
      <c r="A35" s="64" t="s">
        <v>58</v>
      </c>
      <c r="B35" s="65">
        <v>8581.9692078131993</v>
      </c>
      <c r="C35" s="65">
        <v>7104.1969781894868</v>
      </c>
      <c r="D35" s="65">
        <v>7925.8757785274765</v>
      </c>
      <c r="E35" s="65">
        <v>23612.041964530163</v>
      </c>
      <c r="F35" s="65">
        <v>7425.419586513176</v>
      </c>
      <c r="G35" s="65">
        <v>122080.23683108413</v>
      </c>
      <c r="H35" s="65">
        <v>7474.057165498808</v>
      </c>
      <c r="I35" s="65">
        <v>136979.71358309611</v>
      </c>
      <c r="J35" s="65">
        <v>160591.75554762629</v>
      </c>
      <c r="K35" s="65">
        <v>7059.1487379245682</v>
      </c>
      <c r="L35" s="65">
        <v>8312.7823654208914</v>
      </c>
      <c r="M35" s="65">
        <v>7777.1998470409044</v>
      </c>
      <c r="N35" s="65">
        <v>23149.130950386363</v>
      </c>
      <c r="O35" s="65">
        <v>183740.88649801264</v>
      </c>
      <c r="P35" s="65">
        <v>7268.5859985984234</v>
      </c>
      <c r="Q35" s="65">
        <v>7521.0122961724028</v>
      </c>
      <c r="R35" s="65">
        <v>7851.4973026753478</v>
      </c>
      <c r="S35" s="65">
        <v>22641.095597446176</v>
      </c>
      <c r="T35" s="65">
        <v>206381.98209545884</v>
      </c>
    </row>
    <row r="36" spans="1:20" ht="14.25" customHeight="1">
      <c r="A36" s="67" t="s">
        <v>59</v>
      </c>
      <c r="B36" s="68">
        <v>0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5843.0391409806307</v>
      </c>
      <c r="S36" s="68">
        <v>5843.0391409806307</v>
      </c>
      <c r="T36" s="65">
        <v>5843.0391409806307</v>
      </c>
    </row>
    <row r="37" spans="1:20" s="66" customFormat="1" ht="14.25" customHeight="1">
      <c r="A37" s="64" t="s">
        <v>60</v>
      </c>
      <c r="B37" s="65">
        <v>8581.9692078131993</v>
      </c>
      <c r="C37" s="65">
        <v>7104.1969781894868</v>
      </c>
      <c r="D37" s="65">
        <v>7925.8757785274765</v>
      </c>
      <c r="E37" s="65">
        <v>23612.041964530163</v>
      </c>
      <c r="F37" s="65">
        <v>7425.419586513176</v>
      </c>
      <c r="G37" s="65">
        <v>122080.23683108413</v>
      </c>
      <c r="H37" s="65">
        <v>7474.057165498808</v>
      </c>
      <c r="I37" s="65">
        <v>136979.71358309611</v>
      </c>
      <c r="J37" s="65">
        <v>160591.75554762629</v>
      </c>
      <c r="K37" s="65">
        <v>7059.1487379245682</v>
      </c>
      <c r="L37" s="65">
        <v>8312.7823654208914</v>
      </c>
      <c r="M37" s="65">
        <v>7777.1998470409044</v>
      </c>
      <c r="N37" s="65">
        <v>23149.130950386363</v>
      </c>
      <c r="O37" s="65">
        <v>183740.88649801264</v>
      </c>
      <c r="P37" s="65">
        <v>7268.5859985984234</v>
      </c>
      <c r="Q37" s="65">
        <v>7521.0122961724028</v>
      </c>
      <c r="R37" s="65">
        <v>13694.536443655979</v>
      </c>
      <c r="S37" s="65">
        <v>28484.134738426808</v>
      </c>
      <c r="T37" s="65">
        <v>212225.02123643947</v>
      </c>
    </row>
    <row r="38" spans="1:20">
      <c r="T38" s="69">
        <f>T37-'Центральная дом № 4а'!D32</f>
        <v>0</v>
      </c>
    </row>
  </sheetData>
  <mergeCells count="2">
    <mergeCell ref="A1:T1"/>
    <mergeCell ref="A2:T2"/>
  </mergeCells>
  <pageMargins left="0.16" right="0.16" top="1.1299999999999999" bottom="0.74803149606299213" header="0.31496062992125984" footer="0.31496062992125984"/>
  <pageSetup paperSize="9" scale="6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>
      <selection activeCell="G40" sqref="G40"/>
    </sheetView>
  </sheetViews>
  <sheetFormatPr defaultRowHeight="12.75"/>
  <cols>
    <col min="1" max="1" width="43.42578125" customWidth="1"/>
    <col min="2" max="2" width="9.42578125" customWidth="1"/>
    <col min="14" max="15" width="10.42578125" customWidth="1"/>
  </cols>
  <sheetData>
    <row r="1" spans="1:15" ht="18.75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18.75">
      <c r="A2" s="171" t="s">
        <v>96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2" t="s">
        <v>1</v>
      </c>
      <c r="B4">
        <v>501.8</v>
      </c>
      <c r="C4" t="s">
        <v>2</v>
      </c>
    </row>
    <row r="5" spans="1:15" ht="30.75" customHeight="1" thickBot="1">
      <c r="A5" s="3" t="s">
        <v>3</v>
      </c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6" t="s">
        <v>15</v>
      </c>
      <c r="N5" s="7" t="s">
        <v>16</v>
      </c>
      <c r="O5" s="7" t="s">
        <v>17</v>
      </c>
    </row>
    <row r="6" spans="1:15" ht="18" customHeight="1">
      <c r="A6" s="8" t="s">
        <v>18</v>
      </c>
      <c r="B6" s="9">
        <f>B7+B10</f>
        <v>2789.7595375699866</v>
      </c>
      <c r="C6" s="10">
        <f t="shared" ref="C6:N6" si="0">C7+C10</f>
        <v>2346.0084612027176</v>
      </c>
      <c r="D6" s="10">
        <f t="shared" si="0"/>
        <v>2642.4626027842887</v>
      </c>
      <c r="E6" s="10">
        <f t="shared" si="0"/>
        <v>2288.5887885172606</v>
      </c>
      <c r="F6" s="10">
        <f t="shared" si="0"/>
        <v>2252.0525387403118</v>
      </c>
      <c r="G6" s="10">
        <f t="shared" si="0"/>
        <v>2248.716255103358</v>
      </c>
      <c r="H6" s="10">
        <f t="shared" si="0"/>
        <v>2222.2035207706954</v>
      </c>
      <c r="I6" s="10">
        <f t="shared" si="0"/>
        <v>2279.2589531941248</v>
      </c>
      <c r="J6" s="10">
        <f t="shared" si="0"/>
        <v>2114.0097978971157</v>
      </c>
      <c r="K6" s="10">
        <f t="shared" si="0"/>
        <v>2195.8266680121214</v>
      </c>
      <c r="L6" s="10">
        <f t="shared" si="0"/>
        <v>2287.513082583238</v>
      </c>
      <c r="M6" s="75">
        <f t="shared" si="0"/>
        <v>2656.1628595394754</v>
      </c>
      <c r="N6" s="11">
        <f t="shared" si="0"/>
        <v>28322.563065914695</v>
      </c>
      <c r="O6" s="76">
        <f>O7+O10</f>
        <v>4.7034945971028792</v>
      </c>
    </row>
    <row r="7" spans="1:15">
      <c r="A7" s="18" t="s">
        <v>19</v>
      </c>
      <c r="B7" s="19">
        <v>2410.1841297611563</v>
      </c>
      <c r="C7" s="12">
        <v>1799.5735135249281</v>
      </c>
      <c r="D7" s="12">
        <v>1831.1477785236345</v>
      </c>
      <c r="E7" s="12">
        <v>1828.2361720185977</v>
      </c>
      <c r="F7" s="12">
        <v>1812.820349090819</v>
      </c>
      <c r="G7" s="12">
        <v>1865.89942162329</v>
      </c>
      <c r="H7" s="12">
        <v>1914.7306441535959</v>
      </c>
      <c r="I7" s="12">
        <v>1865.4130478287568</v>
      </c>
      <c r="J7" s="12">
        <v>1852.1879406696203</v>
      </c>
      <c r="K7" s="12">
        <v>1859.5764552578744</v>
      </c>
      <c r="L7" s="12">
        <v>1953.6594931743446</v>
      </c>
      <c r="M7" s="77">
        <v>1983.473971298949</v>
      </c>
      <c r="N7" s="13">
        <f t="shared" ref="N7:N9" si="1">SUM(B7:M7)</f>
        <v>22976.90291692557</v>
      </c>
      <c r="O7" s="78">
        <f>N7/12/$B$4</f>
        <v>3.8157471298202421</v>
      </c>
    </row>
    <row r="8" spans="1:15" hidden="1">
      <c r="A8" s="14" t="s">
        <v>20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79"/>
      <c r="N8" s="17">
        <f t="shared" si="1"/>
        <v>0</v>
      </c>
      <c r="O8" s="80">
        <f>N8/12/$B$4</f>
        <v>0</v>
      </c>
    </row>
    <row r="9" spans="1:15" hidden="1">
      <c r="A9" s="14" t="s">
        <v>21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79"/>
      <c r="N9" s="17">
        <f t="shared" si="1"/>
        <v>0</v>
      </c>
      <c r="O9" s="80">
        <f>N9/12/$B$4</f>
        <v>0</v>
      </c>
    </row>
    <row r="10" spans="1:15">
      <c r="A10" s="18" t="s">
        <v>22</v>
      </c>
      <c r="B10" s="19">
        <f t="shared" ref="B10:O10" si="2">SUM(B11:B34)</f>
        <v>379.57540780883011</v>
      </c>
      <c r="C10" s="12">
        <f t="shared" si="2"/>
        <v>546.43494767778964</v>
      </c>
      <c r="D10" s="12">
        <f t="shared" si="2"/>
        <v>811.31482426065395</v>
      </c>
      <c r="E10" s="12">
        <f t="shared" si="2"/>
        <v>460.35261649866294</v>
      </c>
      <c r="F10" s="12">
        <f t="shared" si="2"/>
        <v>439.2321896494928</v>
      </c>
      <c r="G10" s="12">
        <f t="shared" si="2"/>
        <v>382.81683348006783</v>
      </c>
      <c r="H10" s="12">
        <f t="shared" si="2"/>
        <v>307.47287661709964</v>
      </c>
      <c r="I10" s="12">
        <f t="shared" si="2"/>
        <v>413.84590536536797</v>
      </c>
      <c r="J10" s="12">
        <f t="shared" si="2"/>
        <v>261.82185722749529</v>
      </c>
      <c r="K10" s="12">
        <f t="shared" si="2"/>
        <v>336.25021275424729</v>
      </c>
      <c r="L10" s="12">
        <f t="shared" si="2"/>
        <v>333.85358940889324</v>
      </c>
      <c r="M10" s="77">
        <f t="shared" si="2"/>
        <v>672.68888824052635</v>
      </c>
      <c r="N10" s="13">
        <f t="shared" si="2"/>
        <v>5345.6601489891264</v>
      </c>
      <c r="O10" s="78">
        <f t="shared" si="2"/>
        <v>0.8877474672826372</v>
      </c>
    </row>
    <row r="11" spans="1:15">
      <c r="A11" s="20" t="s">
        <v>23</v>
      </c>
      <c r="B11" s="21">
        <v>22.567541629133228</v>
      </c>
      <c r="C11" s="22">
        <v>19.813059171885367</v>
      </c>
      <c r="D11" s="22">
        <v>23.238408508145927</v>
      </c>
      <c r="E11" s="22">
        <v>21.766900142632508</v>
      </c>
      <c r="F11" s="22">
        <v>19.718737323947192</v>
      </c>
      <c r="G11" s="22">
        <v>21.748407808175955</v>
      </c>
      <c r="H11" s="22">
        <v>19.008040801489607</v>
      </c>
      <c r="I11" s="22">
        <v>18.844017077522878</v>
      </c>
      <c r="J11" s="22">
        <v>19.55055556028017</v>
      </c>
      <c r="K11" s="22">
        <v>16.650322869327383</v>
      </c>
      <c r="L11" s="22">
        <v>17.410368757701576</v>
      </c>
      <c r="M11" s="81">
        <v>23.309532871440371</v>
      </c>
      <c r="N11" s="17">
        <f>SUM(B11:M11)</f>
        <v>243.62589252168218</v>
      </c>
      <c r="O11" s="82">
        <f t="shared" ref="O11:O34" si="3">N11/12/$B$4</f>
        <v>4.0458664229055766E-2</v>
      </c>
    </row>
    <row r="12" spans="1:15">
      <c r="A12" s="20" t="s">
        <v>24</v>
      </c>
      <c r="B12" s="21">
        <v>74.954136702609361</v>
      </c>
      <c r="C12" s="22">
        <v>74.954136702609361</v>
      </c>
      <c r="D12" s="22">
        <v>74.954136702609361</v>
      </c>
      <c r="E12" s="22">
        <v>74.954136702609361</v>
      </c>
      <c r="F12" s="22">
        <v>74.954136702609361</v>
      </c>
      <c r="G12" s="22">
        <v>74.954136702609361</v>
      </c>
      <c r="H12" s="22">
        <v>74.954136702609361</v>
      </c>
      <c r="I12" s="22">
        <v>74.954136702609361</v>
      </c>
      <c r="J12" s="22">
        <v>74.954136702609361</v>
      </c>
      <c r="K12" s="22">
        <v>74.954136702609361</v>
      </c>
      <c r="L12" s="22">
        <v>74.954136702609361</v>
      </c>
      <c r="M12" s="81">
        <v>74.954136702609361</v>
      </c>
      <c r="N12" s="17">
        <f t="shared" ref="N12:N32" si="4">SUM(B12:M12)</f>
        <v>899.44964043131256</v>
      </c>
      <c r="O12" s="82">
        <f t="shared" si="3"/>
        <v>0.1493705394631514</v>
      </c>
    </row>
    <row r="13" spans="1:15">
      <c r="A13" s="20" t="s">
        <v>25</v>
      </c>
      <c r="B13" s="21">
        <v>51.911922015058728</v>
      </c>
      <c r="C13" s="22">
        <v>52.482667674972326</v>
      </c>
      <c r="D13" s="22">
        <v>53.119176015408939</v>
      </c>
      <c r="E13" s="22">
        <v>53.755684355845538</v>
      </c>
      <c r="F13" s="22">
        <v>54.40324432811714</v>
      </c>
      <c r="G13" s="22">
        <v>55.050804300388741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81">
        <v>0</v>
      </c>
      <c r="N13" s="17">
        <f t="shared" si="4"/>
        <v>320.72349868979143</v>
      </c>
      <c r="O13" s="82">
        <f t="shared" si="3"/>
        <v>5.3262172626841936E-2</v>
      </c>
    </row>
    <row r="14" spans="1:15">
      <c r="A14" s="20" t="s">
        <v>26</v>
      </c>
      <c r="B14" s="21">
        <v>58.143619882723414</v>
      </c>
      <c r="C14" s="22">
        <v>59.184224028769862</v>
      </c>
      <c r="D14" s="22">
        <v>59.065719897311574</v>
      </c>
      <c r="E14" s="22">
        <v>64.81300613989238</v>
      </c>
      <c r="F14" s="22">
        <v>61.688786415610764</v>
      </c>
      <c r="G14" s="22">
        <v>64.251451936158375</v>
      </c>
      <c r="H14" s="22">
        <v>55.968855697373982</v>
      </c>
      <c r="I14" s="22">
        <v>57.976751184224902</v>
      </c>
      <c r="J14" s="22">
        <v>61.328240604756608</v>
      </c>
      <c r="K14" s="22">
        <v>52.755456963730872</v>
      </c>
      <c r="L14" s="22">
        <v>49.606398423344892</v>
      </c>
      <c r="M14" s="81">
        <v>53.643198439742939</v>
      </c>
      <c r="N14" s="17">
        <f t="shared" si="4"/>
        <v>698.42570961364061</v>
      </c>
      <c r="O14" s="82">
        <f t="shared" si="3"/>
        <v>0.11598673269789435</v>
      </c>
    </row>
    <row r="15" spans="1:15">
      <c r="A15" s="20" t="s">
        <v>27</v>
      </c>
      <c r="B15" s="21">
        <v>0</v>
      </c>
      <c r="C15" s="22">
        <v>0</v>
      </c>
      <c r="D15" s="22">
        <v>0</v>
      </c>
      <c r="E15" s="22">
        <v>17.179269288043312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81">
        <v>0</v>
      </c>
      <c r="N15" s="17">
        <f t="shared" si="4"/>
        <v>17.179269288043312</v>
      </c>
      <c r="O15" s="82">
        <f t="shared" si="3"/>
        <v>2.8529409605492413E-3</v>
      </c>
    </row>
    <row r="16" spans="1:15">
      <c r="A16" s="20" t="s">
        <v>111</v>
      </c>
      <c r="B16" s="21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81">
        <v>0</v>
      </c>
      <c r="N16" s="17">
        <f t="shared" si="4"/>
        <v>0</v>
      </c>
      <c r="O16" s="82">
        <f t="shared" si="3"/>
        <v>0</v>
      </c>
    </row>
    <row r="17" spans="1:15">
      <c r="A17" s="20" t="s">
        <v>28</v>
      </c>
      <c r="B17" s="21">
        <v>0</v>
      </c>
      <c r="C17" s="22">
        <v>0</v>
      </c>
      <c r="D17" s="22">
        <v>10.942209737607206</v>
      </c>
      <c r="E17" s="22">
        <v>10.942209737607206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81">
        <v>0</v>
      </c>
      <c r="N17" s="17">
        <f t="shared" si="4"/>
        <v>21.884419475214411</v>
      </c>
      <c r="O17" s="82">
        <f t="shared" si="3"/>
        <v>3.6343196949671862E-3</v>
      </c>
    </row>
    <row r="18" spans="1:15">
      <c r="A18" s="20" t="s">
        <v>29</v>
      </c>
      <c r="B18" s="21">
        <v>0</v>
      </c>
      <c r="C18" s="22">
        <v>1.1489320224487565</v>
      </c>
      <c r="D18" s="22">
        <v>0</v>
      </c>
      <c r="E18" s="22">
        <v>0</v>
      </c>
      <c r="F18" s="22">
        <v>1.1489320224487565</v>
      </c>
      <c r="G18" s="22">
        <v>0</v>
      </c>
      <c r="H18" s="22">
        <v>0</v>
      </c>
      <c r="I18" s="22">
        <v>1.1489320224487565</v>
      </c>
      <c r="J18" s="22">
        <v>0</v>
      </c>
      <c r="K18" s="22">
        <v>0</v>
      </c>
      <c r="L18" s="22">
        <v>1.1489320224487565</v>
      </c>
      <c r="M18" s="81">
        <v>0</v>
      </c>
      <c r="N18" s="17">
        <f t="shared" si="4"/>
        <v>4.5957280897950259</v>
      </c>
      <c r="O18" s="82">
        <f t="shared" si="3"/>
        <v>7.632071359431091E-4</v>
      </c>
    </row>
    <row r="19" spans="1:15">
      <c r="A19" s="20" t="s">
        <v>30</v>
      </c>
      <c r="B19" s="21">
        <v>37.843522955417143</v>
      </c>
      <c r="C19" s="22">
        <v>37.843522955417143</v>
      </c>
      <c r="D19" s="22">
        <v>37.843522955417143</v>
      </c>
      <c r="E19" s="22">
        <v>37.843522955417143</v>
      </c>
      <c r="F19" s="22">
        <v>37.843522955417143</v>
      </c>
      <c r="G19" s="22">
        <v>37.843522955417143</v>
      </c>
      <c r="H19" s="22">
        <v>37.843522955417143</v>
      </c>
      <c r="I19" s="22">
        <v>37.843522955417143</v>
      </c>
      <c r="J19" s="22">
        <v>0</v>
      </c>
      <c r="K19" s="22">
        <v>0</v>
      </c>
      <c r="L19" s="22">
        <v>0</v>
      </c>
      <c r="M19" s="81">
        <v>0</v>
      </c>
      <c r="N19" s="17">
        <f t="shared" si="4"/>
        <v>302.74818364333714</v>
      </c>
      <c r="O19" s="82">
        <f t="shared" si="3"/>
        <v>5.0277033287388258E-2</v>
      </c>
    </row>
    <row r="20" spans="1:15">
      <c r="A20" s="20" t="s">
        <v>31</v>
      </c>
      <c r="B20" s="21">
        <v>0</v>
      </c>
      <c r="C20" s="22">
        <v>109.42209737607206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81">
        <v>0</v>
      </c>
      <c r="N20" s="17">
        <f t="shared" si="4"/>
        <v>109.42209737607206</v>
      </c>
      <c r="O20" s="82">
        <f t="shared" si="3"/>
        <v>1.8171598474835935E-2</v>
      </c>
    </row>
    <row r="21" spans="1:15">
      <c r="A21" s="20" t="s">
        <v>32</v>
      </c>
      <c r="B21" s="21">
        <v>24.619971909616215</v>
      </c>
      <c r="C21" s="22">
        <v>0</v>
      </c>
      <c r="D21" s="22">
        <v>0</v>
      </c>
      <c r="E21" s="22">
        <v>39.391955055385942</v>
      </c>
      <c r="F21" s="22">
        <v>11.489320224487566</v>
      </c>
      <c r="G21" s="22">
        <v>5.4711048688036028</v>
      </c>
      <c r="H21" s="22">
        <v>4.3768838950428819</v>
      </c>
      <c r="I21" s="22">
        <v>5.4711048688036028</v>
      </c>
      <c r="J21" s="22">
        <v>0</v>
      </c>
      <c r="K21" s="22">
        <v>7.6595468163250446</v>
      </c>
      <c r="L21" s="22">
        <v>7.6595468163250446</v>
      </c>
      <c r="M21" s="81">
        <v>0</v>
      </c>
      <c r="N21" s="17">
        <f t="shared" si="4"/>
        <v>106.13943445478992</v>
      </c>
      <c r="O21" s="82">
        <f t="shared" si="3"/>
        <v>1.762645052059086E-2</v>
      </c>
    </row>
    <row r="22" spans="1:15">
      <c r="A22" s="23" t="s">
        <v>112</v>
      </c>
      <c r="B22" s="21">
        <v>60.020318274820426</v>
      </c>
      <c r="C22" s="22">
        <v>48.300664535356226</v>
      </c>
      <c r="D22" s="22">
        <v>39.606531788340419</v>
      </c>
      <c r="E22" s="22">
        <v>35.494339946850261</v>
      </c>
      <c r="F22" s="22">
        <v>35.494339946850261</v>
      </c>
      <c r="G22" s="22">
        <v>1.7134406228119123</v>
      </c>
      <c r="H22" s="22">
        <v>0</v>
      </c>
      <c r="I22" s="22">
        <v>0</v>
      </c>
      <c r="J22" s="22">
        <v>0</v>
      </c>
      <c r="K22" s="22">
        <v>40.40903345049653</v>
      </c>
      <c r="L22" s="22">
        <v>36.028866892532363</v>
      </c>
      <c r="M22" s="81">
        <v>39.626993720549741</v>
      </c>
      <c r="N22" s="17">
        <f t="shared" si="4"/>
        <v>336.69452917860815</v>
      </c>
      <c r="O22" s="82">
        <f t="shared" si="3"/>
        <v>5.5914462797032043E-2</v>
      </c>
    </row>
    <row r="23" spans="1:15">
      <c r="A23" s="20" t="s">
        <v>33</v>
      </c>
      <c r="B23" s="21">
        <v>0</v>
      </c>
      <c r="C23" s="22">
        <v>0</v>
      </c>
      <c r="D23" s="22">
        <v>3.7544910051677847</v>
      </c>
      <c r="E23" s="22">
        <v>0</v>
      </c>
      <c r="F23" s="22">
        <v>0</v>
      </c>
      <c r="G23" s="22">
        <v>3.7544910051677847</v>
      </c>
      <c r="H23" s="22">
        <v>0</v>
      </c>
      <c r="I23" s="22">
        <v>0</v>
      </c>
      <c r="J23" s="22">
        <v>3.2241220991859629</v>
      </c>
      <c r="K23" s="22">
        <v>0</v>
      </c>
      <c r="L23" s="22">
        <v>0</v>
      </c>
      <c r="M23" s="81">
        <v>5.8532068328408462</v>
      </c>
      <c r="N23" s="17">
        <f t="shared" si="4"/>
        <v>16.586310942362378</v>
      </c>
      <c r="O23" s="82">
        <f t="shared" si="3"/>
        <v>2.7544690684141054E-3</v>
      </c>
    </row>
    <row r="24" spans="1:15">
      <c r="A24" s="20" t="s">
        <v>34</v>
      </c>
      <c r="B24" s="21">
        <v>28.562231233881342</v>
      </c>
      <c r="C24" s="22">
        <v>28.810980487846361</v>
      </c>
      <c r="D24" s="22">
        <v>28.206040422502749</v>
      </c>
      <c r="E24" s="22">
        <v>13.766022035752547</v>
      </c>
      <c r="F24" s="22">
        <v>10.755171146517085</v>
      </c>
      <c r="G24" s="22">
        <v>28.585005910801943</v>
      </c>
      <c r="H24" s="22">
        <v>15.633638393767347</v>
      </c>
      <c r="I24" s="22">
        <v>12.023124984326998</v>
      </c>
      <c r="J24" s="22">
        <v>13.370340789430934</v>
      </c>
      <c r="K24" s="22">
        <v>30.414575211346822</v>
      </c>
      <c r="L24" s="22">
        <v>10.321991434139733</v>
      </c>
      <c r="M24" s="81">
        <v>48.275836661461604</v>
      </c>
      <c r="N24" s="17">
        <f t="shared" si="4"/>
        <v>268.72495871177546</v>
      </c>
      <c r="O24" s="82">
        <f t="shared" si="3"/>
        <v>4.462683650720331E-2</v>
      </c>
    </row>
    <row r="25" spans="1:15">
      <c r="A25" s="20" t="s">
        <v>35</v>
      </c>
      <c r="B25" s="21">
        <v>0</v>
      </c>
      <c r="C25" s="22">
        <v>86.922178603117246</v>
      </c>
      <c r="D25" s="22">
        <v>86.922178603117246</v>
      </c>
      <c r="E25" s="22">
        <v>86.922178603117246</v>
      </c>
      <c r="F25" s="22">
        <v>86.922178603117246</v>
      </c>
      <c r="G25" s="22">
        <v>86.922178603117246</v>
      </c>
      <c r="H25" s="22">
        <v>42.372503565812771</v>
      </c>
      <c r="I25" s="22">
        <v>79.497232763566501</v>
      </c>
      <c r="J25" s="22">
        <v>79.497232763566501</v>
      </c>
      <c r="K25" s="22">
        <v>79.497232763566501</v>
      </c>
      <c r="L25" s="22">
        <v>79.497232763566501</v>
      </c>
      <c r="M25" s="81">
        <v>79.497232763566501</v>
      </c>
      <c r="N25" s="17">
        <f t="shared" si="4"/>
        <v>874.46956039923134</v>
      </c>
      <c r="O25" s="82">
        <f t="shared" si="3"/>
        <v>0.14522212707573259</v>
      </c>
    </row>
    <row r="26" spans="1:15">
      <c r="A26" s="20" t="s">
        <v>113</v>
      </c>
      <c r="B26" s="21">
        <v>0</v>
      </c>
      <c r="C26" s="22">
        <v>21.884419475214411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98.479887638464859</v>
      </c>
      <c r="J26" s="22">
        <v>0</v>
      </c>
      <c r="K26" s="22">
        <v>0</v>
      </c>
      <c r="L26" s="22">
        <v>0</v>
      </c>
      <c r="M26" s="81">
        <v>13.130651685128647</v>
      </c>
      <c r="N26" s="17">
        <f t="shared" si="4"/>
        <v>133.49495879880791</v>
      </c>
      <c r="O26" s="82">
        <f t="shared" si="3"/>
        <v>2.216935013929984E-2</v>
      </c>
    </row>
    <row r="27" spans="1:15">
      <c r="A27" s="20" t="s">
        <v>114</v>
      </c>
      <c r="B27" s="21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44.863059924189542</v>
      </c>
      <c r="I27" s="22">
        <v>0</v>
      </c>
      <c r="J27" s="22">
        <v>0</v>
      </c>
      <c r="K27" s="22">
        <v>0</v>
      </c>
      <c r="L27" s="22">
        <v>0</v>
      </c>
      <c r="M27" s="81">
        <v>0</v>
      </c>
      <c r="N27" s="17">
        <f t="shared" si="4"/>
        <v>44.863059924189542</v>
      </c>
      <c r="O27" s="82">
        <f t="shared" si="3"/>
        <v>7.4503553746827324E-3</v>
      </c>
    </row>
    <row r="28" spans="1:15">
      <c r="A28" s="20" t="s">
        <v>115</v>
      </c>
      <c r="B28" s="21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16.413314606410808</v>
      </c>
      <c r="J28" s="22">
        <v>0</v>
      </c>
      <c r="K28" s="22">
        <v>0</v>
      </c>
      <c r="L28" s="22">
        <v>0</v>
      </c>
      <c r="M28" s="81">
        <v>0</v>
      </c>
      <c r="N28" s="17">
        <f t="shared" si="4"/>
        <v>16.413314606410808</v>
      </c>
      <c r="O28" s="82">
        <f t="shared" si="3"/>
        <v>2.72573977122539E-3</v>
      </c>
    </row>
    <row r="29" spans="1:15">
      <c r="A29" s="20" t="s">
        <v>36</v>
      </c>
      <c r="B29" s="21">
        <v>0</v>
      </c>
      <c r="C29" s="22">
        <v>5.2084918351010305</v>
      </c>
      <c r="D29" s="22">
        <v>4.4206527339933119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81">
        <v>0</v>
      </c>
      <c r="N29" s="17">
        <f t="shared" si="4"/>
        <v>9.6291445690943434</v>
      </c>
      <c r="O29" s="82">
        <f t="shared" si="3"/>
        <v>1.5991006657855625E-3</v>
      </c>
    </row>
    <row r="30" spans="1:15">
      <c r="A30" s="20" t="s">
        <v>37</v>
      </c>
      <c r="B30" s="21">
        <v>0</v>
      </c>
      <c r="C30" s="22">
        <v>0</v>
      </c>
      <c r="D30" s="22">
        <v>0.37860045692120936</v>
      </c>
      <c r="E30" s="22">
        <v>2.4784105055680321</v>
      </c>
      <c r="F30" s="22">
        <v>0.5689949063555747</v>
      </c>
      <c r="G30" s="22">
        <v>0</v>
      </c>
      <c r="H30" s="22">
        <v>2.4948238201744433</v>
      </c>
      <c r="I30" s="22">
        <v>0.798781310845326</v>
      </c>
      <c r="J30" s="22">
        <v>0.84802125466455847</v>
      </c>
      <c r="K30" s="22">
        <v>0.20790198501453691</v>
      </c>
      <c r="L30" s="22">
        <v>4.3768838950428823E-2</v>
      </c>
      <c r="M30" s="81">
        <v>0.83707904492695129</v>
      </c>
      <c r="N30" s="17">
        <f t="shared" si="4"/>
        <v>8.6563821234210625</v>
      </c>
      <c r="O30" s="82">
        <f t="shared" si="3"/>
        <v>1.4375551553442709E-3</v>
      </c>
    </row>
    <row r="31" spans="1:15">
      <c r="A31" s="20" t="s">
        <v>38</v>
      </c>
      <c r="B31" s="21">
        <v>20.952143205570277</v>
      </c>
      <c r="C31" s="22">
        <v>0.45957280897950264</v>
      </c>
      <c r="D31" s="22">
        <v>60.596863305894942</v>
      </c>
      <c r="E31" s="22">
        <v>1.0449810299414883</v>
      </c>
      <c r="F31" s="22">
        <v>44.244825074014742</v>
      </c>
      <c r="G31" s="22">
        <v>2.5222887666158367</v>
      </c>
      <c r="H31" s="22">
        <v>9.9574108612225576</v>
      </c>
      <c r="I31" s="22">
        <v>10.395099250726846</v>
      </c>
      <c r="J31" s="22">
        <v>9.0492074530011593</v>
      </c>
      <c r="K31" s="22">
        <v>33.702005991830191</v>
      </c>
      <c r="L31" s="22">
        <v>57.182346757274622</v>
      </c>
      <c r="M31" s="81">
        <v>247.39789106243012</v>
      </c>
      <c r="N31" s="17">
        <f t="shared" si="4"/>
        <v>497.50463556750231</v>
      </c>
      <c r="O31" s="82">
        <f t="shared" si="3"/>
        <v>8.2620007235203644E-2</v>
      </c>
    </row>
    <row r="32" spans="1:15">
      <c r="A32" s="20" t="s">
        <v>116</v>
      </c>
      <c r="B32" s="21">
        <v>0</v>
      </c>
      <c r="C32" s="22">
        <v>0</v>
      </c>
      <c r="D32" s="22">
        <v>328.26629212821621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81">
        <v>0</v>
      </c>
      <c r="N32" s="17">
        <f t="shared" si="4"/>
        <v>328.26629212821621</v>
      </c>
      <c r="O32" s="82">
        <f t="shared" si="3"/>
        <v>5.4514795424507809E-2</v>
      </c>
    </row>
    <row r="33" spans="1:15">
      <c r="A33" s="20" t="s">
        <v>39</v>
      </c>
      <c r="B33" s="21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81">
        <v>15.404891499202664</v>
      </c>
      <c r="N33" s="17">
        <f>SUM(B33:M33)</f>
        <v>15.404891499202664</v>
      </c>
      <c r="O33" s="82">
        <f t="shared" si="3"/>
        <v>2.558272136841149E-3</v>
      </c>
    </row>
    <row r="34" spans="1:15" ht="13.5" thickBot="1">
      <c r="A34" s="24" t="s">
        <v>40</v>
      </c>
      <c r="B34" s="25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83">
        <v>70.758236956626504</v>
      </c>
      <c r="N34" s="27">
        <f t="shared" ref="N34" si="5">SUM(B34:M34)</f>
        <v>70.758236956626504</v>
      </c>
      <c r="O34" s="84">
        <f t="shared" si="3"/>
        <v>1.1750736840146556E-2</v>
      </c>
    </row>
    <row r="35" spans="1:15">
      <c r="N35" s="28">
        <f>N6-'Центральная дом № 4а'!D28</f>
        <v>0</v>
      </c>
      <c r="O35" s="29">
        <f>O6-'Центральная дом № 4а'!E28</f>
        <v>0</v>
      </c>
    </row>
  </sheetData>
  <mergeCells count="2">
    <mergeCell ref="A1:O1"/>
    <mergeCell ref="A2:O2"/>
  </mergeCells>
  <pageMargins left="0.23" right="0.26" top="1.3" bottom="0.74803149606299213" header="0.31496062992125984" footer="0.31496062992125984"/>
  <pageSetup paperSize="9" scale="8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opLeftCell="A4" workbookViewId="0">
      <selection activeCell="B43" sqref="B43:M43"/>
    </sheetView>
  </sheetViews>
  <sheetFormatPr defaultRowHeight="12.75"/>
  <cols>
    <col min="1" max="1" width="39.5703125" style="113" customWidth="1"/>
    <col min="2" max="2" width="9.7109375" style="113" customWidth="1"/>
    <col min="3" max="3" width="9.85546875" style="113" customWidth="1"/>
    <col min="4" max="4" width="11.42578125" style="113" customWidth="1"/>
    <col min="5" max="5" width="9.85546875" style="113" customWidth="1"/>
    <col min="6" max="6" width="9.5703125" style="113" customWidth="1"/>
    <col min="7" max="8" width="9.140625" style="113" customWidth="1"/>
    <col min="9" max="9" width="9.85546875" style="113" customWidth="1"/>
    <col min="10" max="12" width="9.140625" style="113" customWidth="1"/>
    <col min="13" max="13" width="10.5703125" style="113" customWidth="1"/>
    <col min="14" max="14" width="11.140625" style="113" customWidth="1"/>
    <col min="15" max="16384" width="9.140625" style="113"/>
  </cols>
  <sheetData>
    <row r="1" spans="1:14" ht="21" customHeight="1">
      <c r="A1" s="178" t="s">
        <v>157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20.25" customHeight="1">
      <c r="A2" s="179" t="s">
        <v>158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13.5" customHeight="1">
      <c r="A3" s="174" t="s">
        <v>159</v>
      </c>
      <c r="B3" s="175" t="s">
        <v>160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6" t="s">
        <v>161</v>
      </c>
    </row>
    <row r="4" spans="1:14" ht="13.5" customHeight="1">
      <c r="A4" s="174"/>
      <c r="B4" s="114" t="s">
        <v>4</v>
      </c>
      <c r="C4" s="114" t="s">
        <v>5</v>
      </c>
      <c r="D4" s="114" t="s">
        <v>6</v>
      </c>
      <c r="E4" s="114" t="s">
        <v>7</v>
      </c>
      <c r="F4" s="114" t="s">
        <v>8</v>
      </c>
      <c r="G4" s="114" t="s">
        <v>9</v>
      </c>
      <c r="H4" s="114" t="s">
        <v>10</v>
      </c>
      <c r="I4" s="114" t="s">
        <v>11</v>
      </c>
      <c r="J4" s="114" t="s">
        <v>12</v>
      </c>
      <c r="K4" s="114" t="s">
        <v>13</v>
      </c>
      <c r="L4" s="114" t="s">
        <v>14</v>
      </c>
      <c r="M4" s="114" t="s">
        <v>15</v>
      </c>
      <c r="N4" s="176"/>
    </row>
    <row r="5" spans="1:14" ht="20.25" customHeight="1">
      <c r="A5" s="115" t="s">
        <v>162</v>
      </c>
      <c r="B5" s="116">
        <f>9.535+2.66</f>
        <v>12.195</v>
      </c>
      <c r="C5" s="116">
        <f>9.535+1.86</f>
        <v>11.395</v>
      </c>
      <c r="D5" s="116">
        <v>11.595000000000001</v>
      </c>
      <c r="E5" s="116">
        <v>11.845000000000001</v>
      </c>
      <c r="F5" s="116">
        <v>11.695</v>
      </c>
      <c r="G5" s="116">
        <f>9.535+0.6</f>
        <v>10.135</v>
      </c>
      <c r="H5" s="116">
        <f>9.535+1.219</f>
        <v>10.754</v>
      </c>
      <c r="I5" s="116">
        <f>9.535+1.836</f>
        <v>11.371</v>
      </c>
      <c r="J5" s="116">
        <f>9.535+1.86</f>
        <v>11.395</v>
      </c>
      <c r="K5" s="116">
        <f>9.535+1.71</f>
        <v>11.245000000000001</v>
      </c>
      <c r="L5" s="117">
        <f>9.535+2.11</f>
        <v>11.645</v>
      </c>
      <c r="M5" s="117">
        <f>9.535+1.86</f>
        <v>11.395</v>
      </c>
      <c r="N5" s="118">
        <f t="shared" ref="N5" si="0">SUM(B5:M5)</f>
        <v>136.66499999999999</v>
      </c>
    </row>
    <row r="6" spans="1:14">
      <c r="A6" s="173" t="s">
        <v>163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</row>
    <row r="7" spans="1:14">
      <c r="A7" s="174" t="s">
        <v>159</v>
      </c>
      <c r="B7" s="175" t="s">
        <v>160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6" t="s">
        <v>164</v>
      </c>
    </row>
    <row r="8" spans="1:14">
      <c r="A8" s="174"/>
      <c r="B8" s="114" t="s">
        <v>4</v>
      </c>
      <c r="C8" s="114" t="s">
        <v>5</v>
      </c>
      <c r="D8" s="114" t="s">
        <v>6</v>
      </c>
      <c r="E8" s="114" t="s">
        <v>7</v>
      </c>
      <c r="F8" s="114" t="s">
        <v>8</v>
      </c>
      <c r="G8" s="114" t="s">
        <v>9</v>
      </c>
      <c r="H8" s="114" t="s">
        <v>10</v>
      </c>
      <c r="I8" s="114" t="s">
        <v>11</v>
      </c>
      <c r="J8" s="114" t="s">
        <v>12</v>
      </c>
      <c r="K8" s="114" t="s">
        <v>13</v>
      </c>
      <c r="L8" s="114" t="s">
        <v>14</v>
      </c>
      <c r="M8" s="114" t="s">
        <v>15</v>
      </c>
      <c r="N8" s="176"/>
    </row>
    <row r="9" spans="1:14">
      <c r="A9" s="115" t="s">
        <v>162</v>
      </c>
      <c r="B9" s="116">
        <f>9.535+2.11</f>
        <v>11.645</v>
      </c>
      <c r="C9" s="116">
        <f>9.535+2.06</f>
        <v>11.595000000000001</v>
      </c>
      <c r="D9" s="116">
        <f>9.535+2.21</f>
        <v>11.745000000000001</v>
      </c>
      <c r="E9" s="116">
        <f>9.535+2.21</f>
        <v>11.745000000000001</v>
      </c>
      <c r="F9" s="116">
        <f>9.535+2.46</f>
        <v>11.995000000000001</v>
      </c>
      <c r="G9" s="116">
        <f>9.535+1.834</f>
        <v>11.369</v>
      </c>
      <c r="H9" s="116">
        <f>9.534+2.152</f>
        <v>11.686</v>
      </c>
      <c r="I9" s="116">
        <f>9.534+2.45</f>
        <v>11.984000000000002</v>
      </c>
      <c r="J9" s="116">
        <f>9.532+1.84</f>
        <v>11.372</v>
      </c>
      <c r="K9" s="116">
        <f>9.533+1.99</f>
        <v>11.523</v>
      </c>
      <c r="L9" s="117">
        <f>9.533+1.3</f>
        <v>10.833</v>
      </c>
      <c r="M9" s="117">
        <f>9.533+2</f>
        <v>11.532999999999999</v>
      </c>
      <c r="N9" s="118">
        <f t="shared" ref="N9" si="1">SUM(B9:M9)</f>
        <v>139.02500000000001</v>
      </c>
    </row>
    <row r="10" spans="1:14">
      <c r="A10" s="173" t="s">
        <v>165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</row>
    <row r="11" spans="1:14">
      <c r="A11" s="174" t="s">
        <v>159</v>
      </c>
      <c r="B11" s="175" t="s">
        <v>160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6" t="s">
        <v>166</v>
      </c>
    </row>
    <row r="12" spans="1:14">
      <c r="A12" s="174"/>
      <c r="B12" s="114" t="s">
        <v>4</v>
      </c>
      <c r="C12" s="114" t="s">
        <v>5</v>
      </c>
      <c r="D12" s="114" t="s">
        <v>6</v>
      </c>
      <c r="E12" s="114" t="s">
        <v>7</v>
      </c>
      <c r="F12" s="114" t="s">
        <v>8</v>
      </c>
      <c r="G12" s="114" t="s">
        <v>9</v>
      </c>
      <c r="H12" s="114" t="s">
        <v>10</v>
      </c>
      <c r="I12" s="114" t="s">
        <v>11</v>
      </c>
      <c r="J12" s="114" t="s">
        <v>12</v>
      </c>
      <c r="K12" s="114" t="s">
        <v>13</v>
      </c>
      <c r="L12" s="114" t="s">
        <v>14</v>
      </c>
      <c r="M12" s="114" t="s">
        <v>15</v>
      </c>
      <c r="N12" s="176"/>
    </row>
    <row r="13" spans="1:14">
      <c r="A13" s="115" t="s">
        <v>162</v>
      </c>
      <c r="B13" s="116">
        <f>9.532+1.85</f>
        <v>11.382</v>
      </c>
      <c r="C13" s="116">
        <f>9.532+1.55</f>
        <v>11.082000000000001</v>
      </c>
      <c r="D13" s="116">
        <f>9.532+1.4</f>
        <v>10.932</v>
      </c>
      <c r="E13" s="116">
        <f>9.532+1.5</f>
        <v>11.032</v>
      </c>
      <c r="F13" s="116">
        <f>9.532+0.514</f>
        <v>10.045999999999999</v>
      </c>
      <c r="G13" s="116">
        <f>9.532+0.651</f>
        <v>10.183</v>
      </c>
      <c r="H13" s="116">
        <f>9.534+1.2</f>
        <v>10.734</v>
      </c>
      <c r="I13" s="116">
        <f>9.535+1.2</f>
        <v>10.734999999999999</v>
      </c>
      <c r="J13" s="116">
        <f>9.535+1.25</f>
        <v>10.785</v>
      </c>
      <c r="K13" s="116">
        <f>9.535+1.25</f>
        <v>10.785</v>
      </c>
      <c r="L13" s="117">
        <f>9.535+1.35</f>
        <v>10.885</v>
      </c>
      <c r="M13" s="117">
        <f>9.535+1.4</f>
        <v>10.935</v>
      </c>
      <c r="N13" s="118">
        <f t="shared" ref="N13" si="2">SUM(B13:M13)</f>
        <v>129.51599999999999</v>
      </c>
    </row>
    <row r="14" spans="1:14">
      <c r="A14" s="173" t="s">
        <v>167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1:14">
      <c r="A15" s="174" t="s">
        <v>159</v>
      </c>
      <c r="B15" s="175" t="s">
        <v>160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6" t="s">
        <v>168</v>
      </c>
    </row>
    <row r="16" spans="1:14">
      <c r="A16" s="174"/>
      <c r="B16" s="114" t="s">
        <v>4</v>
      </c>
      <c r="C16" s="114" t="s">
        <v>5</v>
      </c>
      <c r="D16" s="114" t="s">
        <v>6</v>
      </c>
      <c r="E16" s="114" t="s">
        <v>7</v>
      </c>
      <c r="F16" s="114" t="s">
        <v>8</v>
      </c>
      <c r="G16" s="114" t="s">
        <v>9</v>
      </c>
      <c r="H16" s="114" t="s">
        <v>10</v>
      </c>
      <c r="I16" s="114" t="s">
        <v>11</v>
      </c>
      <c r="J16" s="114" t="s">
        <v>12</v>
      </c>
      <c r="K16" s="114" t="s">
        <v>13</v>
      </c>
      <c r="L16" s="114" t="s">
        <v>14</v>
      </c>
      <c r="M16" s="114" t="s">
        <v>15</v>
      </c>
      <c r="N16" s="176"/>
    </row>
    <row r="17" spans="1:14" ht="15">
      <c r="A17" s="115" t="s">
        <v>162</v>
      </c>
      <c r="B17" s="116">
        <v>11.135</v>
      </c>
      <c r="C17" s="116">
        <v>10.885</v>
      </c>
      <c r="D17" s="116">
        <v>10.835000000000001</v>
      </c>
      <c r="E17" s="116">
        <v>10.734999999999999</v>
      </c>
      <c r="F17" s="116">
        <f>9.535+1.25</f>
        <v>10.785</v>
      </c>
      <c r="G17" s="116">
        <f>9.535+1.05</f>
        <v>10.585000000000001</v>
      </c>
      <c r="H17" s="116">
        <f>9.534+0.95</f>
        <v>10.484</v>
      </c>
      <c r="I17" s="116">
        <v>10.684000000000001</v>
      </c>
      <c r="J17" s="116">
        <v>10.684000000000001</v>
      </c>
      <c r="K17" s="119">
        <f>9.534+1.135</f>
        <v>10.669</v>
      </c>
      <c r="L17" s="117">
        <f>9.534+1.385</f>
        <v>10.919</v>
      </c>
      <c r="M17" s="117">
        <f>12.155+0.985</f>
        <v>13.139999999999999</v>
      </c>
      <c r="N17" s="118">
        <f t="shared" ref="N17" si="3">SUM(B17:M17)</f>
        <v>131.54</v>
      </c>
    </row>
    <row r="18" spans="1:14" ht="16.5" customHeight="1">
      <c r="A18" s="173" t="s">
        <v>94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</row>
    <row r="19" spans="1:14" ht="13.5" customHeight="1">
      <c r="A19" s="174" t="s">
        <v>159</v>
      </c>
      <c r="B19" s="175" t="s">
        <v>169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6" t="s">
        <v>170</v>
      </c>
    </row>
    <row r="20" spans="1:14" ht="13.5" customHeight="1">
      <c r="A20" s="174"/>
      <c r="B20" s="114" t="s">
        <v>4</v>
      </c>
      <c r="C20" s="114" t="s">
        <v>5</v>
      </c>
      <c r="D20" s="114" t="s">
        <v>6</v>
      </c>
      <c r="E20" s="114" t="s">
        <v>7</v>
      </c>
      <c r="F20" s="114" t="s">
        <v>8</v>
      </c>
      <c r="G20" s="114" t="s">
        <v>9</v>
      </c>
      <c r="H20" s="114" t="s">
        <v>10</v>
      </c>
      <c r="I20" s="114" t="s">
        <v>11</v>
      </c>
      <c r="J20" s="114" t="s">
        <v>12</v>
      </c>
      <c r="K20" s="114" t="s">
        <v>13</v>
      </c>
      <c r="L20" s="114" t="s">
        <v>14</v>
      </c>
      <c r="M20" s="114" t="s">
        <v>15</v>
      </c>
      <c r="N20" s="176"/>
    </row>
    <row r="21" spans="1:14" ht="13.5" customHeight="1">
      <c r="A21" s="115" t="s">
        <v>162</v>
      </c>
      <c r="B21" s="117">
        <v>17.347000000000001</v>
      </c>
      <c r="C21" s="117">
        <v>17.446999999999999</v>
      </c>
      <c r="D21" s="117">
        <v>18.113999999999997</v>
      </c>
      <c r="E21" s="117">
        <v>17.558</v>
      </c>
      <c r="F21" s="117">
        <v>19.396542475061629</v>
      </c>
      <c r="G21" s="117">
        <v>1.0499980841199086</v>
      </c>
      <c r="H21" s="117">
        <v>0.85815685226705085</v>
      </c>
      <c r="I21" s="117">
        <v>1.0999976986894036</v>
      </c>
      <c r="J21" s="117">
        <v>17.458162173357724</v>
      </c>
      <c r="K21" s="117">
        <v>17.158151817460041</v>
      </c>
      <c r="L21" s="117">
        <v>17.308</v>
      </c>
      <c r="M21" s="117">
        <v>17.257999999999999</v>
      </c>
      <c r="N21" s="118">
        <f>SUM(B21:M21)</f>
        <v>162.05300910095573</v>
      </c>
    </row>
    <row r="22" spans="1:14">
      <c r="M22" s="120"/>
    </row>
    <row r="23" spans="1:14">
      <c r="A23" s="178" t="s">
        <v>171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</row>
    <row r="24" spans="1:14">
      <c r="A24" s="179" t="s">
        <v>158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</row>
    <row r="25" spans="1:14">
      <c r="A25" s="174" t="s">
        <v>159</v>
      </c>
      <c r="B25" s="175" t="s">
        <v>172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7" t="s">
        <v>161</v>
      </c>
    </row>
    <row r="26" spans="1:14">
      <c r="A26" s="174"/>
      <c r="B26" s="114" t="s">
        <v>4</v>
      </c>
      <c r="C26" s="114" t="s">
        <v>5</v>
      </c>
      <c r="D26" s="114" t="s">
        <v>6</v>
      </c>
      <c r="E26" s="114" t="s">
        <v>7</v>
      </c>
      <c r="F26" s="114" t="s">
        <v>8</v>
      </c>
      <c r="G26" s="114" t="s">
        <v>9</v>
      </c>
      <c r="H26" s="114" t="s">
        <v>10</v>
      </c>
      <c r="I26" s="114" t="s">
        <v>11</v>
      </c>
      <c r="J26" s="114" t="s">
        <v>12</v>
      </c>
      <c r="K26" s="114" t="s">
        <v>13</v>
      </c>
      <c r="L26" s="114" t="s">
        <v>14</v>
      </c>
      <c r="M26" s="114" t="s">
        <v>15</v>
      </c>
      <c r="N26" s="177"/>
    </row>
    <row r="27" spans="1:14">
      <c r="A27" s="115" t="s">
        <v>162</v>
      </c>
      <c r="B27" s="121">
        <v>263</v>
      </c>
      <c r="C27" s="121">
        <v>0</v>
      </c>
      <c r="D27" s="121">
        <v>92</v>
      </c>
      <c r="E27" s="121">
        <v>108</v>
      </c>
      <c r="F27" s="121">
        <v>132</v>
      </c>
      <c r="G27" s="121">
        <v>98</v>
      </c>
      <c r="H27" s="121">
        <v>116</v>
      </c>
      <c r="I27" s="121">
        <v>137</v>
      </c>
      <c r="J27" s="121">
        <v>101</v>
      </c>
      <c r="K27" s="121">
        <v>100</v>
      </c>
      <c r="L27" s="122">
        <v>106</v>
      </c>
      <c r="M27" s="122">
        <v>104</v>
      </c>
      <c r="N27" s="123">
        <f t="shared" ref="N27" si="4">SUM(B27:M27)</f>
        <v>1357</v>
      </c>
    </row>
    <row r="28" spans="1:14">
      <c r="A28" s="173" t="s">
        <v>163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</row>
    <row r="29" spans="1:14">
      <c r="A29" s="174" t="s">
        <v>159</v>
      </c>
      <c r="B29" s="175" t="s">
        <v>172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7" t="s">
        <v>164</v>
      </c>
    </row>
    <row r="30" spans="1:14">
      <c r="A30" s="174"/>
      <c r="B30" s="114" t="s">
        <v>4</v>
      </c>
      <c r="C30" s="114" t="s">
        <v>5</v>
      </c>
      <c r="D30" s="114" t="s">
        <v>6</v>
      </c>
      <c r="E30" s="114" t="s">
        <v>7</v>
      </c>
      <c r="F30" s="114" t="s">
        <v>8</v>
      </c>
      <c r="G30" s="114" t="s">
        <v>9</v>
      </c>
      <c r="H30" s="114" t="s">
        <v>10</v>
      </c>
      <c r="I30" s="114" t="s">
        <v>11</v>
      </c>
      <c r="J30" s="114" t="s">
        <v>12</v>
      </c>
      <c r="K30" s="114" t="s">
        <v>13</v>
      </c>
      <c r="L30" s="114" t="s">
        <v>14</v>
      </c>
      <c r="M30" s="114" t="s">
        <v>15</v>
      </c>
      <c r="N30" s="177"/>
    </row>
    <row r="31" spans="1:14">
      <c r="A31" s="115" t="s">
        <v>162</v>
      </c>
      <c r="B31" s="122">
        <v>106</v>
      </c>
      <c r="C31" s="122">
        <v>130</v>
      </c>
      <c r="D31" s="122">
        <v>110</v>
      </c>
      <c r="E31" s="122">
        <v>126</v>
      </c>
      <c r="F31" s="122">
        <v>110</v>
      </c>
      <c r="G31" s="122">
        <v>108</v>
      </c>
      <c r="H31" s="122">
        <v>111</v>
      </c>
      <c r="I31" s="122">
        <v>123</v>
      </c>
      <c r="J31" s="122">
        <v>207</v>
      </c>
      <c r="K31" s="122">
        <v>95</v>
      </c>
      <c r="L31" s="122">
        <v>99</v>
      </c>
      <c r="M31" s="122">
        <v>85</v>
      </c>
      <c r="N31" s="123">
        <f t="shared" ref="N31" si="5">SUM(B31:M31)</f>
        <v>1410</v>
      </c>
    </row>
    <row r="32" spans="1:14">
      <c r="A32" s="173" t="s">
        <v>165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</row>
    <row r="33" spans="1:14">
      <c r="A33" s="174" t="s">
        <v>159</v>
      </c>
      <c r="B33" s="175" t="s">
        <v>172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6" t="s">
        <v>166</v>
      </c>
    </row>
    <row r="34" spans="1:14">
      <c r="A34" s="174"/>
      <c r="B34" s="114" t="s">
        <v>4</v>
      </c>
      <c r="C34" s="114" t="s">
        <v>5</v>
      </c>
      <c r="D34" s="114" t="s">
        <v>6</v>
      </c>
      <c r="E34" s="114" t="s">
        <v>7</v>
      </c>
      <c r="F34" s="114" t="s">
        <v>8</v>
      </c>
      <c r="G34" s="114" t="s">
        <v>9</v>
      </c>
      <c r="H34" s="114" t="s">
        <v>10</v>
      </c>
      <c r="I34" s="114" t="s">
        <v>11</v>
      </c>
      <c r="J34" s="114" t="s">
        <v>12</v>
      </c>
      <c r="K34" s="114" t="s">
        <v>13</v>
      </c>
      <c r="L34" s="114" t="s">
        <v>14</v>
      </c>
      <c r="M34" s="114" t="s">
        <v>15</v>
      </c>
      <c r="N34" s="176"/>
    </row>
    <row r="35" spans="1:14">
      <c r="A35" s="115" t="s">
        <v>162</v>
      </c>
      <c r="B35" s="122">
        <v>109</v>
      </c>
      <c r="C35" s="122">
        <v>99</v>
      </c>
      <c r="D35" s="122">
        <v>98</v>
      </c>
      <c r="E35" s="122">
        <v>96</v>
      </c>
      <c r="F35" s="122">
        <v>101</v>
      </c>
      <c r="G35" s="122">
        <v>115</v>
      </c>
      <c r="H35" s="122">
        <v>146</v>
      </c>
      <c r="I35" s="122">
        <v>121</v>
      </c>
      <c r="J35" s="122">
        <v>86</v>
      </c>
      <c r="K35" s="122">
        <v>80</v>
      </c>
      <c r="L35" s="122">
        <v>88</v>
      </c>
      <c r="M35" s="122">
        <v>90</v>
      </c>
      <c r="N35" s="123">
        <f t="shared" ref="N35" si="6">SUM(B35:M35)</f>
        <v>1229</v>
      </c>
    </row>
    <row r="36" spans="1:14">
      <c r="A36" s="173" t="s">
        <v>167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</row>
    <row r="37" spans="1:14">
      <c r="A37" s="174" t="s">
        <v>159</v>
      </c>
      <c r="B37" s="175" t="s">
        <v>172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6" t="s">
        <v>168</v>
      </c>
    </row>
    <row r="38" spans="1:14">
      <c r="A38" s="174"/>
      <c r="B38" s="114" t="s">
        <v>4</v>
      </c>
      <c r="C38" s="114" t="s">
        <v>5</v>
      </c>
      <c r="D38" s="114" t="s">
        <v>6</v>
      </c>
      <c r="E38" s="114" t="s">
        <v>7</v>
      </c>
      <c r="F38" s="114" t="s">
        <v>8</v>
      </c>
      <c r="G38" s="114" t="s">
        <v>9</v>
      </c>
      <c r="H38" s="114" t="s">
        <v>10</v>
      </c>
      <c r="I38" s="114" t="s">
        <v>11</v>
      </c>
      <c r="J38" s="114" t="s">
        <v>12</v>
      </c>
      <c r="K38" s="114" t="s">
        <v>13</v>
      </c>
      <c r="L38" s="114" t="s">
        <v>14</v>
      </c>
      <c r="M38" s="114" t="s">
        <v>15</v>
      </c>
      <c r="N38" s="176"/>
    </row>
    <row r="39" spans="1:14">
      <c r="A39" s="115" t="s">
        <v>162</v>
      </c>
      <c r="B39" s="122">
        <v>109</v>
      </c>
      <c r="C39" s="122">
        <v>92</v>
      </c>
      <c r="D39" s="122">
        <v>78</v>
      </c>
      <c r="E39" s="122">
        <v>84</v>
      </c>
      <c r="F39" s="121">
        <v>82</v>
      </c>
      <c r="G39" s="121">
        <v>127</v>
      </c>
      <c r="H39" s="121">
        <v>103</v>
      </c>
      <c r="I39" s="122">
        <v>109</v>
      </c>
      <c r="J39" s="122">
        <v>81</v>
      </c>
      <c r="K39" s="122">
        <v>68</v>
      </c>
      <c r="L39" s="122">
        <v>87</v>
      </c>
      <c r="M39" s="122">
        <v>66</v>
      </c>
      <c r="N39" s="123">
        <f t="shared" ref="N39" si="7">SUM(B39:M39)</f>
        <v>1086</v>
      </c>
    </row>
    <row r="40" spans="1:14">
      <c r="A40" s="173" t="s">
        <v>94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</row>
    <row r="41" spans="1:14">
      <c r="A41" s="174" t="s">
        <v>159</v>
      </c>
      <c r="B41" s="175" t="s">
        <v>173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6" t="s">
        <v>170</v>
      </c>
    </row>
    <row r="42" spans="1:14">
      <c r="A42" s="174"/>
      <c r="B42" s="114" t="s">
        <v>4</v>
      </c>
      <c r="C42" s="114" t="s">
        <v>5</v>
      </c>
      <c r="D42" s="114" t="s">
        <v>6</v>
      </c>
      <c r="E42" s="114" t="s">
        <v>7</v>
      </c>
      <c r="F42" s="114" t="s">
        <v>8</v>
      </c>
      <c r="G42" s="114" t="s">
        <v>9</v>
      </c>
      <c r="H42" s="114" t="s">
        <v>10</v>
      </c>
      <c r="I42" s="114" t="s">
        <v>11</v>
      </c>
      <c r="J42" s="114" t="s">
        <v>12</v>
      </c>
      <c r="K42" s="114" t="s">
        <v>13</v>
      </c>
      <c r="L42" s="114" t="s">
        <v>14</v>
      </c>
      <c r="M42" s="114" t="s">
        <v>15</v>
      </c>
      <c r="N42" s="176"/>
    </row>
    <row r="43" spans="1:14">
      <c r="A43" s="115" t="s">
        <v>162</v>
      </c>
      <c r="B43" s="122">
        <v>93</v>
      </c>
      <c r="C43" s="122">
        <v>90</v>
      </c>
      <c r="D43" s="122">
        <v>76</v>
      </c>
      <c r="E43" s="122">
        <v>88</v>
      </c>
      <c r="F43" s="122">
        <v>104</v>
      </c>
      <c r="G43" s="122">
        <v>96</v>
      </c>
      <c r="H43" s="122">
        <v>72</v>
      </c>
      <c r="I43" s="122">
        <v>95</v>
      </c>
      <c r="J43" s="122">
        <v>80</v>
      </c>
      <c r="K43" s="122">
        <v>69</v>
      </c>
      <c r="L43" s="122">
        <v>66</v>
      </c>
      <c r="M43" s="122">
        <v>65</v>
      </c>
      <c r="N43" s="123">
        <f>SUM(B43:M43)</f>
        <v>994</v>
      </c>
    </row>
    <row r="44" spans="1:14">
      <c r="A44" s="124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6"/>
    </row>
    <row r="45" spans="1:14">
      <c r="A45" s="172" t="s">
        <v>174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</row>
  </sheetData>
  <mergeCells count="43">
    <mergeCell ref="A6:N6"/>
    <mergeCell ref="A1:N1"/>
    <mergeCell ref="A2:N2"/>
    <mergeCell ref="A3:A4"/>
    <mergeCell ref="B3:M3"/>
    <mergeCell ref="N3:N4"/>
    <mergeCell ref="A7:A8"/>
    <mergeCell ref="B7:M7"/>
    <mergeCell ref="N7:N8"/>
    <mergeCell ref="A10:N10"/>
    <mergeCell ref="A11:A12"/>
    <mergeCell ref="B11:M11"/>
    <mergeCell ref="N11:N12"/>
    <mergeCell ref="A28:N28"/>
    <mergeCell ref="A14:N14"/>
    <mergeCell ref="A15:A16"/>
    <mergeCell ref="B15:M15"/>
    <mergeCell ref="N15:N16"/>
    <mergeCell ref="A18:N18"/>
    <mergeCell ref="A19:A20"/>
    <mergeCell ref="B19:M19"/>
    <mergeCell ref="N19:N20"/>
    <mergeCell ref="A23:N23"/>
    <mergeCell ref="A24:N24"/>
    <mergeCell ref="A25:A26"/>
    <mergeCell ref="B25:M25"/>
    <mergeCell ref="N25:N26"/>
    <mergeCell ref="A29:A30"/>
    <mergeCell ref="B29:M29"/>
    <mergeCell ref="N29:N30"/>
    <mergeCell ref="A32:N32"/>
    <mergeCell ref="A33:A34"/>
    <mergeCell ref="B33:M33"/>
    <mergeCell ref="N33:N34"/>
    <mergeCell ref="A45:N45"/>
    <mergeCell ref="A36:N36"/>
    <mergeCell ref="A37:A38"/>
    <mergeCell ref="B37:M37"/>
    <mergeCell ref="N37:N38"/>
    <mergeCell ref="A40:N40"/>
    <mergeCell ref="A41:A42"/>
    <mergeCell ref="B41:M41"/>
    <mergeCell ref="N41:N42"/>
  </mergeCells>
  <pageMargins left="0.16" right="0.16" top="0.95" bottom="0.23" header="0.31496062992125984" footer="0.16"/>
  <pageSetup paperSize="9" scale="8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Центральная дом № 4а</vt:lpstr>
      <vt:lpstr>ремонт Центральная 4а</vt:lpstr>
      <vt:lpstr>статьи Центр 4а</vt:lpstr>
      <vt:lpstr>упр Центр 4а</vt:lpstr>
      <vt:lpstr>ресурсы Центр дом № 4а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дты</dc:creator>
  <cp:lastModifiedBy>ekonomist</cp:lastModifiedBy>
  <cp:lastPrinted>2016-03-09T11:41:50Z</cp:lastPrinted>
  <dcterms:created xsi:type="dcterms:W3CDTF">2015-03-21T20:47:25Z</dcterms:created>
  <dcterms:modified xsi:type="dcterms:W3CDTF">2016-03-10T11:05:49Z</dcterms:modified>
</cp:coreProperties>
</file>