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230" tabRatio="845"/>
  </bookViews>
  <sheets>
    <sheet name="Фабричная дом № 7" sheetId="4" r:id="rId1"/>
    <sheet name="ремонт Фабричная 7" sheetId="2" r:id="rId2"/>
    <sheet name="статьи Фаб 7" sheetId="5" r:id="rId3"/>
    <sheet name="упр Фабр 7" sheetId="1" r:id="rId4"/>
    <sheet name="снятие за недопоставку услуг" sheetId="3" r:id="rId5"/>
    <sheet name="ресурсы дом № 7" sheetId="6" r:id="rId6"/>
  </sheets>
  <calcPr calcId="125725"/>
</workbook>
</file>

<file path=xl/calcChain.xml><?xml version="1.0" encoding="utf-8"?>
<calcChain xmlns="http://schemas.openxmlformats.org/spreadsheetml/2006/main">
  <c r="N43" i="6"/>
  <c r="N39"/>
  <c r="N35"/>
  <c r="N31"/>
  <c r="N27"/>
  <c r="N21"/>
  <c r="M17"/>
  <c r="L17"/>
  <c r="K17"/>
  <c r="H17"/>
  <c r="G17"/>
  <c r="F17"/>
  <c r="N17" s="1"/>
  <c r="M13"/>
  <c r="L13"/>
  <c r="K13"/>
  <c r="J13"/>
  <c r="I13"/>
  <c r="H13"/>
  <c r="G13"/>
  <c r="F13"/>
  <c r="E13"/>
  <c r="D13"/>
  <c r="C13"/>
  <c r="B13"/>
  <c r="N13" s="1"/>
  <c r="M9"/>
  <c r="L9"/>
  <c r="K9"/>
  <c r="J9"/>
  <c r="I9"/>
  <c r="H9"/>
  <c r="G9"/>
  <c r="F9"/>
  <c r="E9"/>
  <c r="D9"/>
  <c r="C9"/>
  <c r="B9"/>
  <c r="N9" s="1"/>
  <c r="M5"/>
  <c r="L5"/>
  <c r="K5"/>
  <c r="J5"/>
  <c r="I5"/>
  <c r="H5"/>
  <c r="G5"/>
  <c r="C5"/>
  <c r="B5"/>
  <c r="N5" s="1"/>
  <c r="F43" i="4" l="1"/>
  <c r="F40"/>
  <c r="F39"/>
  <c r="F37"/>
  <c r="F77" i="2" l="1"/>
  <c r="F75"/>
  <c r="F73"/>
  <c r="F70"/>
  <c r="F64"/>
  <c r="F52"/>
  <c r="F47"/>
  <c r="F44"/>
  <c r="F41"/>
  <c r="F39"/>
  <c r="F37"/>
  <c r="F32"/>
  <c r="F29"/>
  <c r="F27"/>
  <c r="F22"/>
  <c r="F20"/>
  <c r="F18"/>
  <c r="F13"/>
  <c r="F7"/>
  <c r="F8" s="1"/>
  <c r="F9" s="1"/>
  <c r="N34" i="1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M10"/>
  <c r="L10"/>
  <c r="K10"/>
  <c r="J10"/>
  <c r="I10"/>
  <c r="H10"/>
  <c r="G10"/>
  <c r="F10"/>
  <c r="E10"/>
  <c r="D10"/>
  <c r="C10"/>
  <c r="B10"/>
  <c r="N9"/>
  <c r="O9" s="1"/>
  <c r="N8"/>
  <c r="O8" s="1"/>
  <c r="N7"/>
  <c r="M6"/>
  <c r="L6"/>
  <c r="K6"/>
  <c r="J6"/>
  <c r="I6"/>
  <c r="H6"/>
  <c r="G6"/>
  <c r="F6"/>
  <c r="E6"/>
  <c r="D6"/>
  <c r="C6"/>
  <c r="B6"/>
  <c r="T38" i="5"/>
  <c r="F14" i="2" l="1"/>
  <c r="F33"/>
  <c r="F34" s="1"/>
  <c r="F53"/>
  <c r="F35"/>
  <c r="F45"/>
  <c r="F78"/>
  <c r="F79" s="1"/>
  <c r="F80" s="1"/>
  <c r="F81" s="1"/>
  <c r="O7" i="1"/>
  <c r="N10"/>
  <c r="N6" s="1"/>
  <c r="O11"/>
  <c r="O10" s="1"/>
  <c r="O6" l="1"/>
  <c r="G61" i="4" l="1"/>
  <c r="F61"/>
  <c r="E61"/>
  <c r="G59"/>
  <c r="F59"/>
  <c r="E59"/>
  <c r="G58"/>
  <c r="F58"/>
  <c r="E58"/>
  <c r="D57"/>
  <c r="C57"/>
  <c r="B57"/>
  <c r="G55"/>
  <c r="F55"/>
  <c r="E55"/>
  <c r="G54"/>
  <c r="F54"/>
  <c r="E54"/>
  <c r="D53"/>
  <c r="D62" s="1"/>
  <c r="C53"/>
  <c r="B53"/>
  <c r="F48"/>
  <c r="G48" s="1"/>
  <c r="E11"/>
  <c r="E14" s="1"/>
  <c r="E15" s="1"/>
  <c r="E10"/>
  <c r="E9"/>
  <c r="B62" l="1"/>
  <c r="F57"/>
  <c r="E53"/>
  <c r="G57"/>
  <c r="E57"/>
  <c r="F53"/>
  <c r="C62"/>
  <c r="F62" s="1"/>
  <c r="G53"/>
  <c r="E62" l="1"/>
  <c r="G62"/>
  <c r="E12" s="1"/>
  <c r="E13" s="1"/>
  <c r="G13" s="1"/>
  <c r="O35" i="1"/>
  <c r="N35"/>
</calcChain>
</file>

<file path=xl/sharedStrings.xml><?xml version="1.0" encoding="utf-8"?>
<sst xmlns="http://schemas.openxmlformats.org/spreadsheetml/2006/main" count="500" uniqueCount="239">
  <si>
    <t>д. Нифантово,  ул. Фабричная дом № 7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</si>
  <si>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</si>
  <si>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</si>
  <si>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</si>
  <si>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</si>
  <si>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</si>
  <si>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</si>
  <si>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</si>
  <si>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</si>
  <si>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</si>
  <si>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</si>
  <si>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</si>
  <si>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</si>
  <si>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</si>
  <si>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</si>
  <si>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</si>
  <si>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</si>
  <si>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</si>
  <si>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</si>
  <si>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</si>
  <si>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</si>
  <si>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</si>
  <si>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</si>
  <si>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</si>
  <si>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</si>
  <si>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</si>
  <si>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</si>
  <si>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</si>
  <si>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</si>
  <si>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</si>
  <si>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</si>
  <si>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</si>
  <si>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</si>
  <si>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</si>
  <si>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</si>
  <si>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</si>
  <si>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</si>
  <si>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</si>
  <si>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</si>
  <si>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</si>
  <si>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</si>
  <si>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Ремонт кровли</t>
  </si>
  <si>
    <t>Обкоска территории</t>
  </si>
  <si>
    <t>Ремонт системы водоснабжения в подвале дома</t>
  </si>
  <si>
    <t>Замена ламп освещения в подъездах и подвальных помещениях</t>
  </si>
  <si>
    <t>Многоквартирный дом по адресу: д. Нифантово, ул. Фабричная, дом 7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</si>
  <si>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</si>
  <si>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</si>
  <si>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</si>
  <si>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</si>
  <si>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</si>
  <si>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</si>
  <si>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</si>
  <si>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</si>
  <si>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</si>
  <si>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</si>
  <si>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</si>
  <si>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</si>
  <si>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</si>
  <si>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</si>
  <si>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</si>
  <si>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</si>
  <si>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</si>
  <si>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</si>
  <si>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</si>
  <si>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Услуги по обслуживанию и ремонту общего имущества МКД, в том числе: </t>
  </si>
  <si>
    <t>вид работ</t>
  </si>
  <si>
    <t>объём работ</t>
  </si>
  <si>
    <t>стоимость, руб</t>
  </si>
  <si>
    <t>5 шт</t>
  </si>
  <si>
    <t xml:space="preserve">Итого выполнено ремонтов 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</si>
  <si>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</si>
  <si>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</si>
  <si>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</si>
  <si>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</si>
  <si>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</si>
  <si>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</si>
  <si>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 xml:space="preserve">холодное водоснабжение  </t>
  </si>
  <si>
    <t xml:space="preserve">водоотведение  </t>
  </si>
  <si>
    <t xml:space="preserve">отопление      </t>
  </si>
  <si>
    <t xml:space="preserve"> горячее водоснабжение  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</si>
  <si>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</si>
  <si>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ВСЕГО</t>
  </si>
  <si>
    <t>Директор ООО "Жилкомсервис"</t>
  </si>
  <si>
    <t>Т.Н. Александрова</t>
  </si>
  <si>
    <t>д. Нифантово, ул. Фабричная, дом № 7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</si>
  <si>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</si>
  <si>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</si>
  <si>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</si>
  <si>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</si>
  <si>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</si>
  <si>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</si>
  <si>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</si>
  <si>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</si>
  <si>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</si>
  <si>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</si>
  <si>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</si>
  <si>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</si>
  <si>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</si>
  <si>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</si>
  <si>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</si>
  <si>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Общая задолженность за содержание и ремонт общедомового имущества  и коммунальные услуги на 01.01.2016г.</t>
  </si>
  <si>
    <t>За 2015 год:  собрано за содержание и ремонт общедомового имущества - израсходовано денежных средств</t>
  </si>
  <si>
    <t>За 2011-2015 год: собрано за содержание и ремонт общедомового имущества - израсходовано денежных средств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</si>
  <si>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</si>
  <si>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</si>
  <si>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</si>
  <si>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</si>
  <si>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</si>
  <si>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</si>
  <si>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</si>
  <si>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 xml:space="preserve"> ПОДОМОВОЙ УЧЁТ 2015 ГОД</t>
  </si>
  <si>
    <t>расшифровка статьи: управление многоквартирным домом в подомовом учёте 2015 года</t>
  </si>
  <si>
    <t>утвержд. тариф на 2015г.</t>
  </si>
  <si>
    <t>Факт 2015 год, руб.</t>
  </si>
  <si>
    <t>задолженность на 01.01.2016г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</si>
  <si>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</si>
  <si>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</si>
  <si>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</si>
  <si>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</si>
  <si>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</si>
  <si>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</si>
  <si>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ООО"Жилкомсервис" ремонты</t>
  </si>
  <si>
    <t xml:space="preserve"> </t>
  </si>
  <si>
    <t>период</t>
  </si>
  <si>
    <t>материал</t>
  </si>
  <si>
    <t>кол</t>
  </si>
  <si>
    <t>ед. изм</t>
  </si>
  <si>
    <t>Сумма</t>
  </si>
  <si>
    <t>март 2015г</t>
  </si>
  <si>
    <t>х</t>
  </si>
  <si>
    <t>круг отр 150*2*22</t>
  </si>
  <si>
    <t>муфта пер. 25*20</t>
  </si>
  <si>
    <t>угол 20*90</t>
  </si>
  <si>
    <t>лампочка 240/60 Вт</t>
  </si>
  <si>
    <t xml:space="preserve">Итого по замене ламп освещения в подъездах и подвальных помещениях   
</t>
  </si>
  <si>
    <t>1 квартал 2015г</t>
  </si>
  <si>
    <t>апрель 2015г</t>
  </si>
  <si>
    <t>май 2015г</t>
  </si>
  <si>
    <t>июнь 2015г</t>
  </si>
  <si>
    <t>2 квартал 2015г</t>
  </si>
  <si>
    <t>6 месяцев 2015г</t>
  </si>
  <si>
    <t>июль 2015г</t>
  </si>
  <si>
    <t>август 2015г</t>
  </si>
  <si>
    <t>сентябрь 2015г</t>
  </si>
  <si>
    <t>лампочка 240/95 Вт</t>
  </si>
  <si>
    <t>Ремонт системы отопления</t>
  </si>
  <si>
    <t>термометр б/м ТБ-080-1</t>
  </si>
  <si>
    <t>Промывка системы отопления</t>
  </si>
  <si>
    <t>кран шаров Ду15 вн.вн.</t>
  </si>
  <si>
    <t>кран шаров Ду25 вн/вн</t>
  </si>
  <si>
    <t>бочонок 15 (черн.)</t>
  </si>
  <si>
    <t>муфта Д15</t>
  </si>
  <si>
    <t>3 квартал 2015г</t>
  </si>
  <si>
    <t>9 месяцем 2015г</t>
  </si>
  <si>
    <t>итого по ремонту водоснабжения в подвале дома</t>
  </si>
  <si>
    <t>Прямой 16*1/2" вн</t>
  </si>
  <si>
    <t>кран шаровый 1/2" вн/вн</t>
  </si>
  <si>
    <t>лента фум</t>
  </si>
  <si>
    <t>сентябрь2015г</t>
  </si>
  <si>
    <t xml:space="preserve">Итого по замене ламп освещения в подъездах и подвальных помещениях  </t>
  </si>
  <si>
    <t>отвод 50*45</t>
  </si>
  <si>
    <t xml:space="preserve">Замена ламп освещения в подъездах </t>
  </si>
  <si>
    <t xml:space="preserve">Итого по замене ламп освещения в подъездах </t>
  </si>
  <si>
    <t>Ремонт теплового узла</t>
  </si>
  <si>
    <t>манжет резиновый 73*50</t>
  </si>
  <si>
    <t>Итого по промывке системы отопления</t>
  </si>
  <si>
    <t>октябрь 2015г</t>
  </si>
  <si>
    <t>бензин Аи-92</t>
  </si>
  <si>
    <t>итого по обкоске территории</t>
  </si>
  <si>
    <t>ноябрь 2015г</t>
  </si>
  <si>
    <t>труба 50х2000 мм</t>
  </si>
  <si>
    <t>тройник комб.25х1/2"нар</t>
  </si>
  <si>
    <t>резьба Д25</t>
  </si>
  <si>
    <t>декабрь 2015г</t>
  </si>
  <si>
    <t>4 квартал 2015г</t>
  </si>
  <si>
    <t xml:space="preserve"> 2015г</t>
  </si>
  <si>
    <t>Ремонт дверей и люка в подъезде</t>
  </si>
  <si>
    <t>тройник 25*20*25</t>
  </si>
  <si>
    <t>Ремонт водоподогревателя</t>
  </si>
  <si>
    <t>итого по ремонту водоподогревателя</t>
  </si>
  <si>
    <t>ул. Фабричная д. № 7</t>
  </si>
  <si>
    <t>Итого по ремонту системы отопления</t>
  </si>
  <si>
    <t>гвозди L 50</t>
  </si>
  <si>
    <t>Итого по ремонту дверей и люка в подъезде</t>
  </si>
  <si>
    <t>Ремонт водоподогревателя системы водоснабжения</t>
  </si>
  <si>
    <t>заглушка 16</t>
  </si>
  <si>
    <t>Итого ремонту водоподогревателя системы водоснабжения</t>
  </si>
  <si>
    <t>Итого по ремонту теплового узла</t>
  </si>
  <si>
    <t>Ремонт системы канализации в подвале дома под 1,2 кв</t>
  </si>
  <si>
    <t>труба 110-1500 мм</t>
  </si>
  <si>
    <t>итого по ремонту системы канализации в подвале дома под 1,2 кв</t>
  </si>
  <si>
    <t>скобы (упак.)</t>
  </si>
  <si>
    <t>итого по ремонту кровли</t>
  </si>
  <si>
    <t>сгон д.15</t>
  </si>
  <si>
    <t>Ремонт стояков холодного и горячего водоснабжения в квартирах № 3,10,17,24</t>
  </si>
  <si>
    <t>муфта Д20-1/2 вн.</t>
  </si>
  <si>
    <t>угол 25*90</t>
  </si>
  <si>
    <t>переходник 25х1"нар.</t>
  </si>
  <si>
    <t>кран шаровый 1" вн/вн</t>
  </si>
  <si>
    <t>кран с фильтром 1/2</t>
  </si>
  <si>
    <t>крепеж</t>
  </si>
  <si>
    <t>итого по ремонту стояков холодного и горячего водоснабжения в квартирах № 3,10,17,24</t>
  </si>
  <si>
    <t>труба 50-500 мм</t>
  </si>
  <si>
    <t>труба 50-1500 мм</t>
  </si>
  <si>
    <t>переход с чуг..на пластик</t>
  </si>
  <si>
    <t>кран шаровый 1/2"</t>
  </si>
  <si>
    <t>переход 25х1/2</t>
  </si>
  <si>
    <t>фланец Ду 100</t>
  </si>
  <si>
    <t>за  2015 г.</t>
  </si>
  <si>
    <t>1 боченок</t>
  </si>
  <si>
    <t>15 шт</t>
  </si>
  <si>
    <t>6 заглушек и 3 фланца</t>
  </si>
  <si>
    <t>11кранов</t>
  </si>
  <si>
    <t>1 терм 1 муфт</t>
  </si>
  <si>
    <t>4 м</t>
  </si>
  <si>
    <t>5 кранов</t>
  </si>
  <si>
    <t>1 шт</t>
  </si>
  <si>
    <t>10 кв. м.</t>
  </si>
  <si>
    <t>Выставлено Гкал в 2011- 20154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</si>
  <si>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</si>
  <si>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</si>
  <si>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</si>
  <si>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</si>
  <si>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Нифантово, ул. Фабричная дом № 7</t>
  </si>
  <si>
    <t>2012 год</t>
  </si>
  <si>
    <t>итого за 2012г</t>
  </si>
  <si>
    <t>2013 год</t>
  </si>
  <si>
    <t>итого за 2013г</t>
  </si>
  <si>
    <t>2014 год</t>
  </si>
  <si>
    <t>итого за 2014г</t>
  </si>
  <si>
    <t>выставлено по счётам ОАО "Шексна-Теплосеть", ООО "Газпром теплоэнерго Вологда, Гкал</t>
  </si>
  <si>
    <t>итого за 2015г</t>
  </si>
  <si>
    <t>Выставлено Гкал в 2011- 20154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</si>
  <si>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</si>
  <si>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ООО "Шекснинский бройлер" куб. м.</t>
  </si>
  <si>
    <t>Директор ООО "Жилкомсервис"                                                                                Т. Н. Александрова</t>
  </si>
  <si>
    <t>ООО "Шекснинский бройлер",        ОАО "Шексна-Водоканал" всего</t>
  </si>
  <si>
    <t xml:space="preserve">ООО Газпром теплоэнерго Вологда, ОАО "Шексна-Теплосеть"  всего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</si>
</sst>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0;[Red]\-0.00"/>
    <numFmt numFmtId="166" formatCode="#,##0.00;[Red]\-#,##0.00"/>
    <numFmt numFmtId="167" formatCode="0.00_ ;[Red]\-0.00\ "/>
    <numFmt numFmtId="168" formatCode="0.000"/>
    <numFmt numFmtId="169" formatCode="0.0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0"/>
      <name val="Arial Cyr"/>
      <family val="2"/>
      <charset val="204"/>
    </font>
    <font>
      <b/>
      <sz val="9"/>
      <color theme="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6" xfId="0" applyFont="1" applyBorder="1"/>
    <xf numFmtId="2" fontId="11" fillId="0" borderId="7" xfId="0" applyNumberFormat="1" applyFont="1" applyBorder="1"/>
    <xf numFmtId="2" fontId="11" fillId="0" borderId="8" xfId="0" applyNumberFormat="1" applyFont="1" applyBorder="1"/>
    <xf numFmtId="2" fontId="11" fillId="0" borderId="9" xfId="0" applyNumberFormat="1" applyFont="1" applyBorder="1"/>
    <xf numFmtId="2" fontId="11" fillId="0" borderId="11" xfId="0" applyNumberFormat="1" applyFont="1" applyBorder="1"/>
    <xf numFmtId="2" fontId="11" fillId="0" borderId="13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2" fontId="0" fillId="0" borderId="13" xfId="0" applyNumberFormat="1" applyBorder="1"/>
    <xf numFmtId="0" fontId="11" fillId="0" borderId="10" xfId="0" applyFont="1" applyBorder="1"/>
    <xf numFmtId="2" fontId="11" fillId="0" borderId="14" xfId="0" applyNumberFormat="1" applyFont="1" applyBorder="1"/>
    <xf numFmtId="0" fontId="10" fillId="0" borderId="10" xfId="0" applyFont="1" applyFill="1" applyBorder="1" applyAlignment="1"/>
    <xf numFmtId="2" fontId="10" fillId="0" borderId="14" xfId="0" applyNumberFormat="1" applyFont="1" applyBorder="1" applyAlignment="1"/>
    <xf numFmtId="2" fontId="10" fillId="0" borderId="11" xfId="0" applyNumberFormat="1" applyFont="1" applyBorder="1" applyAlignment="1"/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2" fontId="10" fillId="0" borderId="16" xfId="0" applyNumberFormat="1" applyFont="1" applyBorder="1" applyAlignment="1"/>
    <xf numFmtId="2" fontId="10" fillId="0" borderId="17" xfId="0" applyNumberFormat="1" applyFont="1" applyBorder="1" applyAlignment="1"/>
    <xf numFmtId="2" fontId="0" fillId="0" borderId="18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3" fillId="0" borderId="0" xfId="9"/>
    <xf numFmtId="0" fontId="13" fillId="0" borderId="0" xfId="9" applyAlignment="1">
      <alignment horizontal="center"/>
    </xf>
    <xf numFmtId="0" fontId="16" fillId="0" borderId="0" xfId="9" applyFont="1" applyAlignment="1">
      <alignment horizontal="right"/>
    </xf>
    <xf numFmtId="2" fontId="10" fillId="0" borderId="11" xfId="9" applyNumberFormat="1" applyFont="1" applyBorder="1"/>
    <xf numFmtId="0" fontId="16" fillId="0" borderId="11" xfId="9" applyFont="1" applyBorder="1"/>
    <xf numFmtId="2" fontId="16" fillId="0" borderId="11" xfId="9" applyNumberFormat="1" applyFont="1" applyBorder="1"/>
    <xf numFmtId="164" fontId="16" fillId="0" borderId="11" xfId="9" applyNumberFormat="1" applyFont="1" applyBorder="1" applyAlignment="1">
      <alignment horizontal="right"/>
    </xf>
    <xf numFmtId="2" fontId="16" fillId="0" borderId="11" xfId="9" applyNumberFormat="1" applyFont="1" applyBorder="1" applyAlignment="1"/>
    <xf numFmtId="0" fontId="16" fillId="0" borderId="0" xfId="9" applyFont="1" applyBorder="1" applyAlignment="1"/>
    <xf numFmtId="2" fontId="17" fillId="0" borderId="11" xfId="9" applyNumberFormat="1" applyFont="1" applyBorder="1"/>
    <xf numFmtId="0" fontId="18" fillId="0" borderId="0" xfId="9" applyFont="1"/>
    <xf numFmtId="2" fontId="16" fillId="0" borderId="11" xfId="9" applyNumberFormat="1" applyFont="1" applyBorder="1" applyAlignment="1">
      <alignment wrapText="1"/>
    </xf>
    <xf numFmtId="0" fontId="16" fillId="0" borderId="0" xfId="9" applyFont="1"/>
    <xf numFmtId="0" fontId="17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2" fontId="16" fillId="0" borderId="11" xfId="9" applyNumberFormat="1" applyFont="1" applyBorder="1" applyAlignment="1">
      <alignment horizontal="center"/>
    </xf>
    <xf numFmtId="2" fontId="17" fillId="0" borderId="11" xfId="9" applyNumberFormat="1" applyFont="1" applyBorder="1" applyAlignment="1">
      <alignment horizontal="center"/>
    </xf>
    <xf numFmtId="0" fontId="17" fillId="0" borderId="0" xfId="9" applyFont="1" applyBorder="1" applyAlignment="1">
      <alignment wrapText="1"/>
    </xf>
    <xf numFmtId="2" fontId="17" fillId="0" borderId="0" xfId="9" applyNumberFormat="1" applyFont="1" applyBorder="1" applyAlignment="1">
      <alignment horizontal="center"/>
    </xf>
    <xf numFmtId="2" fontId="17" fillId="0" borderId="11" xfId="9" applyNumberFormat="1" applyFont="1" applyBorder="1" applyAlignment="1">
      <alignment horizontal="center" vertical="center" wrapText="1"/>
    </xf>
    <xf numFmtId="0" fontId="5" fillId="0" borderId="0" xfId="10"/>
    <xf numFmtId="0" fontId="17" fillId="0" borderId="0" xfId="9" applyFont="1" applyBorder="1"/>
    <xf numFmtId="164" fontId="17" fillId="0" borderId="11" xfId="9" applyNumberFormat="1" applyFont="1" applyBorder="1"/>
    <xf numFmtId="0" fontId="16" fillId="0" borderId="11" xfId="9" applyFont="1" applyBorder="1" applyAlignment="1">
      <alignment horizontal="left"/>
    </xf>
    <xf numFmtId="164" fontId="16" fillId="0" borderId="11" xfId="9" applyNumberFormat="1" applyFont="1" applyBorder="1"/>
    <xf numFmtId="164" fontId="13" fillId="0" borderId="11" xfId="9" applyNumberFormat="1" applyBorder="1"/>
    <xf numFmtId="0" fontId="16" fillId="0" borderId="11" xfId="9" applyFont="1" applyBorder="1" applyAlignment="1">
      <alignment wrapText="1"/>
    </xf>
    <xf numFmtId="0" fontId="18" fillId="0" borderId="11" xfId="9" applyFont="1" applyBorder="1"/>
    <xf numFmtId="2" fontId="18" fillId="0" borderId="11" xfId="9" applyNumberFormat="1" applyFont="1" applyBorder="1"/>
    <xf numFmtId="0" fontId="18" fillId="0" borderId="0" xfId="9" applyFont="1" applyBorder="1"/>
    <xf numFmtId="2" fontId="18" fillId="0" borderId="0" xfId="9" applyNumberFormat="1" applyFont="1" applyBorder="1"/>
    <xf numFmtId="164" fontId="17" fillId="0" borderId="0" xfId="9" applyNumberFormat="1" applyFont="1" applyBorder="1"/>
    <xf numFmtId="0" fontId="4" fillId="0" borderId="0" xfId="11"/>
    <xf numFmtId="0" fontId="4" fillId="0" borderId="11" xfId="11" applyBorder="1"/>
    <xf numFmtId="0" fontId="12" fillId="0" borderId="11" xfId="11" applyFont="1" applyBorder="1" applyAlignment="1">
      <alignment horizontal="center"/>
    </xf>
    <xf numFmtId="0" fontId="12" fillId="0" borderId="11" xfId="11" applyFont="1" applyBorder="1" applyAlignment="1">
      <alignment wrapText="1"/>
    </xf>
    <xf numFmtId="2" fontId="12" fillId="0" borderId="11" xfId="11" applyNumberFormat="1" applyFont="1" applyBorder="1"/>
    <xf numFmtId="0" fontId="12" fillId="0" borderId="0" xfId="11" applyFont="1"/>
    <xf numFmtId="0" fontId="4" fillId="0" borderId="11" xfId="11" applyBorder="1" applyAlignment="1">
      <alignment wrapText="1"/>
    </xf>
    <xf numFmtId="2" fontId="4" fillId="0" borderId="11" xfId="11" applyNumberFormat="1" applyBorder="1"/>
    <xf numFmtId="2" fontId="12" fillId="0" borderId="0" xfId="11" applyNumberFormat="1" applyFont="1"/>
    <xf numFmtId="17" fontId="3" fillId="0" borderId="11" xfId="11" applyNumberFormat="1" applyFont="1" applyBorder="1" applyAlignment="1">
      <alignment horizontal="center"/>
    </xf>
    <xf numFmtId="0" fontId="3" fillId="0" borderId="11" xfId="11" applyFont="1" applyBorder="1" applyAlignment="1">
      <alignment horizontal="center"/>
    </xf>
    <xf numFmtId="2" fontId="16" fillId="0" borderId="0" xfId="9" applyNumberFormat="1" applyFont="1"/>
    <xf numFmtId="2" fontId="11" fillId="0" borderId="11" xfId="9" applyNumberFormat="1" applyFont="1" applyBorder="1" applyAlignment="1">
      <alignment horizontal="center"/>
    </xf>
    <xf numFmtId="2" fontId="11" fillId="0" borderId="11" xfId="9" applyNumberFormat="1" applyFont="1" applyBorder="1"/>
    <xf numFmtId="2" fontId="11" fillId="0" borderId="27" xfId="0" applyNumberFormat="1" applyFont="1" applyBorder="1"/>
    <xf numFmtId="2" fontId="11" fillId="0" borderId="28" xfId="0" applyNumberFormat="1" applyFont="1" applyBorder="1"/>
    <xf numFmtId="2" fontId="11" fillId="0" borderId="21" xfId="0" applyNumberFormat="1" applyFont="1" applyBorder="1"/>
    <xf numFmtId="2" fontId="11" fillId="0" borderId="29" xfId="0" applyNumberFormat="1" applyFont="1" applyBorder="1"/>
    <xf numFmtId="0" fontId="0" fillId="0" borderId="21" xfId="0" applyBorder="1"/>
    <xf numFmtId="2" fontId="0" fillId="0" borderId="29" xfId="0" applyNumberFormat="1" applyFont="1" applyBorder="1"/>
    <xf numFmtId="2" fontId="10" fillId="0" borderId="21" xfId="0" applyNumberFormat="1" applyFont="1" applyBorder="1" applyAlignment="1"/>
    <xf numFmtId="2" fontId="0" fillId="0" borderId="29" xfId="0" applyNumberFormat="1" applyBorder="1"/>
    <xf numFmtId="2" fontId="10" fillId="0" borderId="30" xfId="0" applyNumberFormat="1" applyFont="1" applyBorder="1" applyAlignment="1"/>
    <xf numFmtId="2" fontId="0" fillId="0" borderId="31" xfId="0" applyNumberFormat="1" applyBorder="1"/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165" fontId="0" fillId="0" borderId="11" xfId="0" applyNumberFormat="1" applyBorder="1" applyAlignment="1">
      <alignment horizontal="right" vertical="top"/>
    </xf>
    <xf numFmtId="0" fontId="0" fillId="0" borderId="0" xfId="0" applyAlignment="1"/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top" wrapText="1"/>
    </xf>
    <xf numFmtId="166" fontId="0" fillId="0" borderId="11" xfId="0" applyNumberFormat="1" applyBorder="1" applyAlignment="1">
      <alignment horizontal="right" vertical="top"/>
    </xf>
    <xf numFmtId="0" fontId="12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wrapText="1"/>
    </xf>
    <xf numFmtId="166" fontId="12" fillId="0" borderId="11" xfId="0" applyNumberFormat="1" applyFont="1" applyBorder="1" applyAlignment="1">
      <alignment horizontal="right"/>
    </xf>
    <xf numFmtId="166" fontId="0" fillId="0" borderId="0" xfId="0" applyNumberFormat="1" applyAlignment="1"/>
    <xf numFmtId="165" fontId="12" fillId="0" borderId="11" xfId="0" applyNumberFormat="1" applyFont="1" applyBorder="1" applyAlignment="1">
      <alignment horizontal="right" vertical="top"/>
    </xf>
    <xf numFmtId="165" fontId="23" fillId="0" borderId="11" xfId="0" applyNumberFormat="1" applyFont="1" applyBorder="1" applyAlignment="1">
      <alignment horizontal="right" vertical="top"/>
    </xf>
    <xf numFmtId="165" fontId="0" fillId="0" borderId="0" xfId="0" applyNumberFormat="1" applyAlignment="1"/>
    <xf numFmtId="167" fontId="0" fillId="0" borderId="0" xfId="0" applyNumberFormat="1" applyAlignment="1"/>
    <xf numFmtId="0" fontId="24" fillId="0" borderId="0" xfId="0" applyFont="1" applyAlignment="1"/>
    <xf numFmtId="0" fontId="24" fillId="0" borderId="0" xfId="0" applyFont="1"/>
    <xf numFmtId="0" fontId="12" fillId="0" borderId="11" xfId="0" applyFont="1" applyBorder="1" applyAlignment="1">
      <alignment horizontal="center" vertical="center"/>
    </xf>
    <xf numFmtId="0" fontId="12" fillId="0" borderId="33" xfId="0" applyFont="1" applyFill="1" applyBorder="1" applyAlignment="1">
      <alignment wrapText="1"/>
    </xf>
    <xf numFmtId="167" fontId="12" fillId="0" borderId="11" xfId="0" applyNumberFormat="1" applyFont="1" applyBorder="1" applyAlignment="1">
      <alignment horizontal="right" vertical="top"/>
    </xf>
    <xf numFmtId="2" fontId="24" fillId="0" borderId="0" xfId="0" applyNumberFormat="1" applyFont="1"/>
    <xf numFmtId="166" fontId="24" fillId="0" borderId="0" xfId="0" applyNumberFormat="1" applyFont="1" applyAlignment="1"/>
    <xf numFmtId="2" fontId="0" fillId="0" borderId="0" xfId="0" applyNumberFormat="1" applyAlignment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/>
    <xf numFmtId="0" fontId="10" fillId="0" borderId="11" xfId="0" applyFont="1" applyBorder="1" applyAlignment="1">
      <alignment horizontal="center" vertical="center"/>
    </xf>
    <xf numFmtId="0" fontId="10" fillId="0" borderId="11" xfId="12" applyFont="1" applyBorder="1" applyAlignment="1">
      <alignment horizontal="center" vertical="top" wrapText="1"/>
    </xf>
    <xf numFmtId="2" fontId="25" fillId="0" borderId="0" xfId="9" applyNumberFormat="1" applyFont="1"/>
    <xf numFmtId="2" fontId="26" fillId="0" borderId="0" xfId="9" applyNumberFormat="1" applyFont="1"/>
    <xf numFmtId="0" fontId="28" fillId="0" borderId="0" xfId="13" applyFont="1"/>
    <xf numFmtId="0" fontId="29" fillId="0" borderId="11" xfId="13" applyFont="1" applyBorder="1" applyAlignment="1">
      <alignment horizontal="center" vertical="center" wrapText="1"/>
    </xf>
    <xf numFmtId="0" fontId="29" fillId="0" borderId="11" xfId="13" applyFont="1" applyBorder="1" applyAlignment="1">
      <alignment horizontal="center" vertical="center"/>
    </xf>
    <xf numFmtId="168" fontId="28" fillId="0" borderId="11" xfId="13" applyNumberFormat="1" applyFont="1" applyBorder="1" applyAlignment="1">
      <alignment horizontal="center"/>
    </xf>
    <xf numFmtId="168" fontId="29" fillId="0" borderId="11" xfId="13" applyNumberFormat="1" applyFont="1" applyBorder="1" applyAlignment="1">
      <alignment horizontal="center" vertical="center"/>
    </xf>
    <xf numFmtId="168" fontId="30" fillId="0" borderId="11" xfId="13" applyNumberFormat="1" applyFont="1" applyBorder="1" applyAlignment="1">
      <alignment horizontal="center"/>
    </xf>
    <xf numFmtId="168" fontId="1" fillId="0" borderId="11" xfId="13" applyNumberFormat="1" applyBorder="1" applyAlignment="1">
      <alignment horizontal="center"/>
    </xf>
    <xf numFmtId="169" fontId="28" fillId="0" borderId="0" xfId="13" applyNumberFormat="1" applyFont="1"/>
    <xf numFmtId="169" fontId="28" fillId="0" borderId="11" xfId="13" applyNumberFormat="1" applyFont="1" applyBorder="1" applyAlignment="1">
      <alignment horizontal="center"/>
    </xf>
    <xf numFmtId="169" fontId="29" fillId="0" borderId="11" xfId="13" applyNumberFormat="1" applyFont="1" applyBorder="1" applyAlignment="1">
      <alignment horizontal="center" vertical="center"/>
    </xf>
    <xf numFmtId="169" fontId="30" fillId="0" borderId="11" xfId="13" applyNumberFormat="1" applyFont="1" applyBorder="1" applyAlignment="1">
      <alignment horizontal="center"/>
    </xf>
    <xf numFmtId="0" fontId="29" fillId="0" borderId="0" xfId="13" applyFont="1" applyBorder="1" applyAlignment="1">
      <alignment horizontal="center" vertical="center"/>
    </xf>
    <xf numFmtId="169" fontId="29" fillId="0" borderId="0" xfId="13" applyNumberFormat="1" applyFont="1" applyBorder="1" applyAlignment="1">
      <alignment horizontal="center" vertical="center"/>
    </xf>
    <xf numFmtId="169" fontId="30" fillId="0" borderId="0" xfId="13" applyNumberFormat="1" applyFont="1" applyBorder="1" applyAlignment="1">
      <alignment horizontal="center"/>
    </xf>
    <xf numFmtId="0" fontId="18" fillId="0" borderId="0" xfId="9" applyFont="1" applyBorder="1" applyAlignment="1">
      <alignment horizontal="center"/>
    </xf>
    <xf numFmtId="0" fontId="18" fillId="0" borderId="11" xfId="9" applyFont="1" applyBorder="1" applyAlignment="1">
      <alignment horizontal="center"/>
    </xf>
    <xf numFmtId="0" fontId="17" fillId="0" borderId="11" xfId="9" applyFont="1" applyBorder="1" applyAlignment="1">
      <alignment horizontal="center" vertical="center" wrapText="1"/>
    </xf>
    <xf numFmtId="0" fontId="18" fillId="0" borderId="11" xfId="9" applyFont="1" applyBorder="1" applyAlignment="1">
      <alignment horizontal="center" vertical="center"/>
    </xf>
    <xf numFmtId="2" fontId="11" fillId="0" borderId="21" xfId="9" applyNumberFormat="1" applyFont="1" applyBorder="1" applyAlignment="1">
      <alignment horizontal="left"/>
    </xf>
    <xf numFmtId="2" fontId="11" fillId="0" borderId="22" xfId="9" applyNumberFormat="1" applyFont="1" applyBorder="1" applyAlignment="1">
      <alignment horizontal="left"/>
    </xf>
    <xf numFmtId="2" fontId="11" fillId="0" borderId="12" xfId="9" applyNumberFormat="1" applyFont="1" applyBorder="1" applyAlignment="1">
      <alignment horizontal="left"/>
    </xf>
    <xf numFmtId="0" fontId="10" fillId="0" borderId="21" xfId="12" applyFont="1" applyBorder="1" applyAlignment="1">
      <alignment horizontal="left" vertical="center" wrapText="1"/>
    </xf>
    <xf numFmtId="0" fontId="10" fillId="0" borderId="22" xfId="12" applyFont="1" applyBorder="1" applyAlignment="1">
      <alignment horizontal="left" vertical="center" wrapText="1"/>
    </xf>
    <xf numFmtId="0" fontId="10" fillId="0" borderId="12" xfId="12" applyFont="1" applyBorder="1" applyAlignment="1">
      <alignment horizontal="left" vertical="center" wrapText="1"/>
    </xf>
    <xf numFmtId="0" fontId="10" fillId="0" borderId="21" xfId="12" applyFont="1" applyBorder="1" applyAlignment="1">
      <alignment horizontal="left" vertical="top" wrapText="1"/>
    </xf>
    <xf numFmtId="0" fontId="10" fillId="0" borderId="22" xfId="12" applyFont="1" applyBorder="1" applyAlignment="1">
      <alignment horizontal="left" vertical="top" wrapText="1"/>
    </xf>
    <xf numFmtId="0" fontId="10" fillId="0" borderId="12" xfId="12" applyFont="1" applyBorder="1" applyAlignment="1">
      <alignment horizontal="left" vertical="top" wrapText="1"/>
    </xf>
    <xf numFmtId="0" fontId="16" fillId="0" borderId="21" xfId="9" applyFont="1" applyBorder="1" applyAlignment="1">
      <alignment wrapText="1"/>
    </xf>
    <xf numFmtId="0" fontId="16" fillId="0" borderId="12" xfId="9" applyFont="1" applyBorder="1" applyAlignment="1">
      <alignment wrapText="1"/>
    </xf>
    <xf numFmtId="0" fontId="17" fillId="0" borderId="21" xfId="9" applyFont="1" applyBorder="1" applyAlignment="1">
      <alignment wrapText="1"/>
    </xf>
    <xf numFmtId="0" fontId="17" fillId="0" borderId="12" xfId="9" applyFont="1" applyBorder="1" applyAlignment="1">
      <alignment wrapText="1"/>
    </xf>
    <xf numFmtId="0" fontId="19" fillId="0" borderId="0" xfId="10" applyFont="1" applyBorder="1" applyAlignment="1">
      <alignment horizontal="left" vertical="center"/>
    </xf>
    <xf numFmtId="0" fontId="16" fillId="0" borderId="11" xfId="9" applyFont="1" applyBorder="1" applyAlignment="1">
      <alignment horizontal="left" wrapText="1"/>
    </xf>
    <xf numFmtId="0" fontId="17" fillId="0" borderId="25" xfId="9" applyFont="1" applyBorder="1" applyAlignment="1">
      <alignment horizontal="center" vertical="center"/>
    </xf>
    <xf numFmtId="0" fontId="17" fillId="0" borderId="23" xfId="9" applyFont="1" applyBorder="1" applyAlignment="1">
      <alignment horizontal="center" vertical="center"/>
    </xf>
    <xf numFmtId="0" fontId="17" fillId="0" borderId="26" xfId="9" applyFont="1" applyBorder="1" applyAlignment="1">
      <alignment horizontal="center" vertical="center"/>
    </xf>
    <xf numFmtId="0" fontId="17" fillId="0" borderId="24" xfId="9" applyFont="1" applyBorder="1" applyAlignment="1">
      <alignment horizontal="center" vertical="center"/>
    </xf>
    <xf numFmtId="0" fontId="17" fillId="0" borderId="11" xfId="9" applyFont="1" applyBorder="1" applyAlignment="1">
      <alignment horizontal="center" vertical="center"/>
    </xf>
    <xf numFmtId="0" fontId="16" fillId="0" borderId="21" xfId="9" applyFont="1" applyBorder="1" applyAlignment="1">
      <alignment horizontal="center"/>
    </xf>
    <xf numFmtId="0" fontId="16" fillId="0" borderId="12" xfId="9" applyFont="1" applyBorder="1" applyAlignment="1">
      <alignment horizontal="center"/>
    </xf>
    <xf numFmtId="2" fontId="16" fillId="0" borderId="21" xfId="9" applyNumberFormat="1" applyFont="1" applyBorder="1" applyAlignment="1">
      <alignment horizontal="center"/>
    </xf>
    <xf numFmtId="2" fontId="16" fillId="0" borderId="22" xfId="9" applyNumberFormat="1" applyFont="1" applyBorder="1" applyAlignment="1">
      <alignment horizontal="center"/>
    </xf>
    <xf numFmtId="2" fontId="16" fillId="0" borderId="12" xfId="9" applyNumberFormat="1" applyFont="1" applyBorder="1" applyAlignment="1">
      <alignment horizontal="center"/>
    </xf>
    <xf numFmtId="0" fontId="17" fillId="0" borderId="11" xfId="9" applyFont="1" applyBorder="1" applyAlignment="1">
      <alignment horizontal="left" wrapText="1"/>
    </xf>
    <xf numFmtId="0" fontId="14" fillId="0" borderId="0" xfId="9" applyFont="1" applyAlignment="1">
      <alignment horizontal="center" wrapText="1"/>
    </xf>
    <xf numFmtId="0" fontId="15" fillId="0" borderId="0" xfId="10" applyFont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11" applyFont="1" applyBorder="1" applyAlignment="1">
      <alignment horizontal="center"/>
    </xf>
    <xf numFmtId="0" fontId="20" fillId="0" borderId="19" xfId="1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28" fillId="0" borderId="0" xfId="13" applyFont="1" applyAlignment="1">
      <alignment horizontal="center"/>
    </xf>
    <xf numFmtId="0" fontId="27" fillId="0" borderId="0" xfId="13" applyFont="1" applyBorder="1" applyAlignment="1">
      <alignment horizontal="center"/>
    </xf>
    <xf numFmtId="0" fontId="29" fillId="0" borderId="11" xfId="13" applyFont="1" applyBorder="1" applyAlignment="1">
      <alignment horizontal="center" vertical="center"/>
    </xf>
    <xf numFmtId="0" fontId="30" fillId="0" borderId="11" xfId="13" applyFont="1" applyBorder="1" applyAlignment="1">
      <alignment horizontal="center" vertical="center" wrapText="1"/>
    </xf>
    <xf numFmtId="0" fontId="28" fillId="0" borderId="11" xfId="13" applyFont="1" applyBorder="1" applyAlignment="1">
      <alignment horizontal="center" wrapText="1"/>
    </xf>
    <xf numFmtId="0" fontId="28" fillId="0" borderId="11" xfId="13" applyFont="1" applyBorder="1" applyAlignment="1">
      <alignment horizontal="center" vertical="center" wrapText="1"/>
    </xf>
    <xf numFmtId="0" fontId="27" fillId="0" borderId="0" xfId="13" applyFont="1" applyAlignment="1">
      <alignment horizontal="center" wrapText="1"/>
    </xf>
    <xf numFmtId="0" fontId="27" fillId="0" borderId="0" xfId="13" applyFont="1" applyBorder="1" applyAlignment="1">
      <alignment horizontal="center" wrapText="1"/>
    </xf>
    <xf numFmtId="0" fontId="31" fillId="0" borderId="11" xfId="9" applyFont="1" applyBorder="1" applyAlignment="1">
      <alignment horizontal="center" wrapText="1"/>
    </xf>
    <xf numFmtId="0" fontId="31" fillId="0" borderId="11" xfId="9" applyFont="1" applyBorder="1" applyAlignment="1">
      <alignment wrapText="1"/>
    </xf>
  </cellXfs>
  <cellStyles count="14">
    <cellStyle name="Обычный" xfId="0" builtinId="0"/>
    <cellStyle name="Обычный 10" xfId="13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8 2" xfId="12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292608</xdr:colOff>
      <xdr:row>66</xdr:row>
      <xdr:rowOff>32766</xdr:rowOff>
    </xdr:to>
    <xdr:pic>
      <xdr:nvPicPr>
        <xdr:cNvPr id="2" name="Рисунок 1" descr="Снятие за недопоставку Фабричная д. 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07808" cy="10719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>
      <selection activeCell="A53" sqref="A53:A61"/>
    </sheetView>
  </sheetViews>
  <sheetFormatPr defaultRowHeight="14.25"/>
  <cols>
    <col min="1" max="1" width="30.28515625" style="30" customWidth="1"/>
    <col min="2" max="2" width="15.28515625" style="30" customWidth="1"/>
    <col min="3" max="3" width="13.42578125" style="30" customWidth="1"/>
    <col min="4" max="4" width="12.85546875" style="30" customWidth="1"/>
    <col min="5" max="5" width="13.85546875" style="30" customWidth="1"/>
    <col min="6" max="6" width="11.28515625" style="30" customWidth="1"/>
    <col min="7" max="7" width="15.28515625" style="30" customWidth="1"/>
    <col min="8" max="256" width="9.140625" style="30"/>
    <col min="257" max="257" width="34" style="30" customWidth="1"/>
    <col min="258" max="258" width="14.42578125" style="30" customWidth="1"/>
    <col min="259" max="259" width="12.7109375" style="30" customWidth="1"/>
    <col min="260" max="260" width="12.28515625" style="30" customWidth="1"/>
    <col min="261" max="261" width="11.42578125" style="30" customWidth="1"/>
    <col min="262" max="262" width="9.7109375" style="30" customWidth="1"/>
    <col min="263" max="263" width="15" style="30" customWidth="1"/>
    <col min="264" max="512" width="9.140625" style="30"/>
    <col min="513" max="513" width="34" style="30" customWidth="1"/>
    <col min="514" max="514" width="14.42578125" style="30" customWidth="1"/>
    <col min="515" max="515" width="12.7109375" style="30" customWidth="1"/>
    <col min="516" max="516" width="12.28515625" style="30" customWidth="1"/>
    <col min="517" max="517" width="11.42578125" style="30" customWidth="1"/>
    <col min="518" max="518" width="9.7109375" style="30" customWidth="1"/>
    <col min="519" max="519" width="15" style="30" customWidth="1"/>
    <col min="520" max="768" width="9.140625" style="30"/>
    <col min="769" max="769" width="34" style="30" customWidth="1"/>
    <col min="770" max="770" width="14.42578125" style="30" customWidth="1"/>
    <col min="771" max="771" width="12.7109375" style="30" customWidth="1"/>
    <col min="772" max="772" width="12.28515625" style="30" customWidth="1"/>
    <col min="773" max="773" width="11.42578125" style="30" customWidth="1"/>
    <col min="774" max="774" width="9.7109375" style="30" customWidth="1"/>
    <col min="775" max="775" width="15" style="30" customWidth="1"/>
    <col min="776" max="1024" width="9.140625" style="30"/>
    <col min="1025" max="1025" width="34" style="30" customWidth="1"/>
    <col min="1026" max="1026" width="14.42578125" style="30" customWidth="1"/>
    <col min="1027" max="1027" width="12.7109375" style="30" customWidth="1"/>
    <col min="1028" max="1028" width="12.28515625" style="30" customWidth="1"/>
    <col min="1029" max="1029" width="11.42578125" style="30" customWidth="1"/>
    <col min="1030" max="1030" width="9.7109375" style="30" customWidth="1"/>
    <col min="1031" max="1031" width="15" style="30" customWidth="1"/>
    <col min="1032" max="1280" width="9.140625" style="30"/>
    <col min="1281" max="1281" width="34" style="30" customWidth="1"/>
    <col min="1282" max="1282" width="14.42578125" style="30" customWidth="1"/>
    <col min="1283" max="1283" width="12.7109375" style="30" customWidth="1"/>
    <col min="1284" max="1284" width="12.28515625" style="30" customWidth="1"/>
    <col min="1285" max="1285" width="11.42578125" style="30" customWidth="1"/>
    <col min="1286" max="1286" width="9.7109375" style="30" customWidth="1"/>
    <col min="1287" max="1287" width="15" style="30" customWidth="1"/>
    <col min="1288" max="1536" width="9.140625" style="30"/>
    <col min="1537" max="1537" width="34" style="30" customWidth="1"/>
    <col min="1538" max="1538" width="14.42578125" style="30" customWidth="1"/>
    <col min="1539" max="1539" width="12.7109375" style="30" customWidth="1"/>
    <col min="1540" max="1540" width="12.28515625" style="30" customWidth="1"/>
    <col min="1541" max="1541" width="11.42578125" style="30" customWidth="1"/>
    <col min="1542" max="1542" width="9.7109375" style="30" customWidth="1"/>
    <col min="1543" max="1543" width="15" style="30" customWidth="1"/>
    <col min="1544" max="1792" width="9.140625" style="30"/>
    <col min="1793" max="1793" width="34" style="30" customWidth="1"/>
    <col min="1794" max="1794" width="14.42578125" style="30" customWidth="1"/>
    <col min="1795" max="1795" width="12.7109375" style="30" customWidth="1"/>
    <col min="1796" max="1796" width="12.28515625" style="30" customWidth="1"/>
    <col min="1797" max="1797" width="11.42578125" style="30" customWidth="1"/>
    <col min="1798" max="1798" width="9.7109375" style="30" customWidth="1"/>
    <col min="1799" max="1799" width="15" style="30" customWidth="1"/>
    <col min="1800" max="2048" width="9.140625" style="30"/>
    <col min="2049" max="2049" width="34" style="30" customWidth="1"/>
    <col min="2050" max="2050" width="14.42578125" style="30" customWidth="1"/>
    <col min="2051" max="2051" width="12.7109375" style="30" customWidth="1"/>
    <col min="2052" max="2052" width="12.28515625" style="30" customWidth="1"/>
    <col min="2053" max="2053" width="11.42578125" style="30" customWidth="1"/>
    <col min="2054" max="2054" width="9.7109375" style="30" customWidth="1"/>
    <col min="2055" max="2055" width="15" style="30" customWidth="1"/>
    <col min="2056" max="2304" width="9.140625" style="30"/>
    <col min="2305" max="2305" width="34" style="30" customWidth="1"/>
    <col min="2306" max="2306" width="14.42578125" style="30" customWidth="1"/>
    <col min="2307" max="2307" width="12.7109375" style="30" customWidth="1"/>
    <col min="2308" max="2308" width="12.28515625" style="30" customWidth="1"/>
    <col min="2309" max="2309" width="11.42578125" style="30" customWidth="1"/>
    <col min="2310" max="2310" width="9.7109375" style="30" customWidth="1"/>
    <col min="2311" max="2311" width="15" style="30" customWidth="1"/>
    <col min="2312" max="2560" width="9.140625" style="30"/>
    <col min="2561" max="2561" width="34" style="30" customWidth="1"/>
    <col min="2562" max="2562" width="14.42578125" style="30" customWidth="1"/>
    <col min="2563" max="2563" width="12.7109375" style="30" customWidth="1"/>
    <col min="2564" max="2564" width="12.28515625" style="30" customWidth="1"/>
    <col min="2565" max="2565" width="11.42578125" style="30" customWidth="1"/>
    <col min="2566" max="2566" width="9.7109375" style="30" customWidth="1"/>
    <col min="2567" max="2567" width="15" style="30" customWidth="1"/>
    <col min="2568" max="2816" width="9.140625" style="30"/>
    <col min="2817" max="2817" width="34" style="30" customWidth="1"/>
    <col min="2818" max="2818" width="14.42578125" style="30" customWidth="1"/>
    <col min="2819" max="2819" width="12.7109375" style="30" customWidth="1"/>
    <col min="2820" max="2820" width="12.28515625" style="30" customWidth="1"/>
    <col min="2821" max="2821" width="11.42578125" style="30" customWidth="1"/>
    <col min="2822" max="2822" width="9.7109375" style="30" customWidth="1"/>
    <col min="2823" max="2823" width="15" style="30" customWidth="1"/>
    <col min="2824" max="3072" width="9.140625" style="30"/>
    <col min="3073" max="3073" width="34" style="30" customWidth="1"/>
    <col min="3074" max="3074" width="14.42578125" style="30" customWidth="1"/>
    <col min="3075" max="3075" width="12.7109375" style="30" customWidth="1"/>
    <col min="3076" max="3076" width="12.28515625" style="30" customWidth="1"/>
    <col min="3077" max="3077" width="11.42578125" style="30" customWidth="1"/>
    <col min="3078" max="3078" width="9.7109375" style="30" customWidth="1"/>
    <col min="3079" max="3079" width="15" style="30" customWidth="1"/>
    <col min="3080" max="3328" width="9.140625" style="30"/>
    <col min="3329" max="3329" width="34" style="30" customWidth="1"/>
    <col min="3330" max="3330" width="14.42578125" style="30" customWidth="1"/>
    <col min="3331" max="3331" width="12.7109375" style="30" customWidth="1"/>
    <col min="3332" max="3332" width="12.28515625" style="30" customWidth="1"/>
    <col min="3333" max="3333" width="11.42578125" style="30" customWidth="1"/>
    <col min="3334" max="3334" width="9.7109375" style="30" customWidth="1"/>
    <col min="3335" max="3335" width="15" style="30" customWidth="1"/>
    <col min="3336" max="3584" width="9.140625" style="30"/>
    <col min="3585" max="3585" width="34" style="30" customWidth="1"/>
    <col min="3586" max="3586" width="14.42578125" style="30" customWidth="1"/>
    <col min="3587" max="3587" width="12.7109375" style="30" customWidth="1"/>
    <col min="3588" max="3588" width="12.28515625" style="30" customWidth="1"/>
    <col min="3589" max="3589" width="11.42578125" style="30" customWidth="1"/>
    <col min="3590" max="3590" width="9.7109375" style="30" customWidth="1"/>
    <col min="3591" max="3591" width="15" style="30" customWidth="1"/>
    <col min="3592" max="3840" width="9.140625" style="30"/>
    <col min="3841" max="3841" width="34" style="30" customWidth="1"/>
    <col min="3842" max="3842" width="14.42578125" style="30" customWidth="1"/>
    <col min="3843" max="3843" width="12.7109375" style="30" customWidth="1"/>
    <col min="3844" max="3844" width="12.28515625" style="30" customWidth="1"/>
    <col min="3845" max="3845" width="11.42578125" style="30" customWidth="1"/>
    <col min="3846" max="3846" width="9.7109375" style="30" customWidth="1"/>
    <col min="3847" max="3847" width="15" style="30" customWidth="1"/>
    <col min="3848" max="4096" width="9.140625" style="30"/>
    <col min="4097" max="4097" width="34" style="30" customWidth="1"/>
    <col min="4098" max="4098" width="14.42578125" style="30" customWidth="1"/>
    <col min="4099" max="4099" width="12.7109375" style="30" customWidth="1"/>
    <col min="4100" max="4100" width="12.28515625" style="30" customWidth="1"/>
    <col min="4101" max="4101" width="11.42578125" style="30" customWidth="1"/>
    <col min="4102" max="4102" width="9.7109375" style="30" customWidth="1"/>
    <col min="4103" max="4103" width="15" style="30" customWidth="1"/>
    <col min="4104" max="4352" width="9.140625" style="30"/>
    <col min="4353" max="4353" width="34" style="30" customWidth="1"/>
    <col min="4354" max="4354" width="14.42578125" style="30" customWidth="1"/>
    <col min="4355" max="4355" width="12.7109375" style="30" customWidth="1"/>
    <col min="4356" max="4356" width="12.28515625" style="30" customWidth="1"/>
    <col min="4357" max="4357" width="11.42578125" style="30" customWidth="1"/>
    <col min="4358" max="4358" width="9.7109375" style="30" customWidth="1"/>
    <col min="4359" max="4359" width="15" style="30" customWidth="1"/>
    <col min="4360" max="4608" width="9.140625" style="30"/>
    <col min="4609" max="4609" width="34" style="30" customWidth="1"/>
    <col min="4610" max="4610" width="14.42578125" style="30" customWidth="1"/>
    <col min="4611" max="4611" width="12.7109375" style="30" customWidth="1"/>
    <col min="4612" max="4612" width="12.28515625" style="30" customWidth="1"/>
    <col min="4613" max="4613" width="11.42578125" style="30" customWidth="1"/>
    <col min="4614" max="4614" width="9.7109375" style="30" customWidth="1"/>
    <col min="4615" max="4615" width="15" style="30" customWidth="1"/>
    <col min="4616" max="4864" width="9.140625" style="30"/>
    <col min="4865" max="4865" width="34" style="30" customWidth="1"/>
    <col min="4866" max="4866" width="14.42578125" style="30" customWidth="1"/>
    <col min="4867" max="4867" width="12.7109375" style="30" customWidth="1"/>
    <col min="4868" max="4868" width="12.28515625" style="30" customWidth="1"/>
    <col min="4869" max="4869" width="11.42578125" style="30" customWidth="1"/>
    <col min="4870" max="4870" width="9.7109375" style="30" customWidth="1"/>
    <col min="4871" max="4871" width="15" style="30" customWidth="1"/>
    <col min="4872" max="5120" width="9.140625" style="30"/>
    <col min="5121" max="5121" width="34" style="30" customWidth="1"/>
    <col min="5122" max="5122" width="14.42578125" style="30" customWidth="1"/>
    <col min="5123" max="5123" width="12.7109375" style="30" customWidth="1"/>
    <col min="5124" max="5124" width="12.28515625" style="30" customWidth="1"/>
    <col min="5125" max="5125" width="11.42578125" style="30" customWidth="1"/>
    <col min="5126" max="5126" width="9.7109375" style="30" customWidth="1"/>
    <col min="5127" max="5127" width="15" style="30" customWidth="1"/>
    <col min="5128" max="5376" width="9.140625" style="30"/>
    <col min="5377" max="5377" width="34" style="30" customWidth="1"/>
    <col min="5378" max="5378" width="14.42578125" style="30" customWidth="1"/>
    <col min="5379" max="5379" width="12.7109375" style="30" customWidth="1"/>
    <col min="5380" max="5380" width="12.28515625" style="30" customWidth="1"/>
    <col min="5381" max="5381" width="11.42578125" style="30" customWidth="1"/>
    <col min="5382" max="5382" width="9.7109375" style="30" customWidth="1"/>
    <col min="5383" max="5383" width="15" style="30" customWidth="1"/>
    <col min="5384" max="5632" width="9.140625" style="30"/>
    <col min="5633" max="5633" width="34" style="30" customWidth="1"/>
    <col min="5634" max="5634" width="14.42578125" style="30" customWidth="1"/>
    <col min="5635" max="5635" width="12.7109375" style="30" customWidth="1"/>
    <col min="5636" max="5636" width="12.28515625" style="30" customWidth="1"/>
    <col min="5637" max="5637" width="11.42578125" style="30" customWidth="1"/>
    <col min="5638" max="5638" width="9.7109375" style="30" customWidth="1"/>
    <col min="5639" max="5639" width="15" style="30" customWidth="1"/>
    <col min="5640" max="5888" width="9.140625" style="30"/>
    <col min="5889" max="5889" width="34" style="30" customWidth="1"/>
    <col min="5890" max="5890" width="14.42578125" style="30" customWidth="1"/>
    <col min="5891" max="5891" width="12.7109375" style="30" customWidth="1"/>
    <col min="5892" max="5892" width="12.28515625" style="30" customWidth="1"/>
    <col min="5893" max="5893" width="11.42578125" style="30" customWidth="1"/>
    <col min="5894" max="5894" width="9.7109375" style="30" customWidth="1"/>
    <col min="5895" max="5895" width="15" style="30" customWidth="1"/>
    <col min="5896" max="6144" width="9.140625" style="30"/>
    <col min="6145" max="6145" width="34" style="30" customWidth="1"/>
    <col min="6146" max="6146" width="14.42578125" style="30" customWidth="1"/>
    <col min="6147" max="6147" width="12.7109375" style="30" customWidth="1"/>
    <col min="6148" max="6148" width="12.28515625" style="30" customWidth="1"/>
    <col min="6149" max="6149" width="11.42578125" style="30" customWidth="1"/>
    <col min="6150" max="6150" width="9.7109375" style="30" customWidth="1"/>
    <col min="6151" max="6151" width="15" style="30" customWidth="1"/>
    <col min="6152" max="6400" width="9.140625" style="30"/>
    <col min="6401" max="6401" width="34" style="30" customWidth="1"/>
    <col min="6402" max="6402" width="14.42578125" style="30" customWidth="1"/>
    <col min="6403" max="6403" width="12.7109375" style="30" customWidth="1"/>
    <col min="6404" max="6404" width="12.28515625" style="30" customWidth="1"/>
    <col min="6405" max="6405" width="11.42578125" style="30" customWidth="1"/>
    <col min="6406" max="6406" width="9.7109375" style="30" customWidth="1"/>
    <col min="6407" max="6407" width="15" style="30" customWidth="1"/>
    <col min="6408" max="6656" width="9.140625" style="30"/>
    <col min="6657" max="6657" width="34" style="30" customWidth="1"/>
    <col min="6658" max="6658" width="14.42578125" style="30" customWidth="1"/>
    <col min="6659" max="6659" width="12.7109375" style="30" customWidth="1"/>
    <col min="6660" max="6660" width="12.28515625" style="30" customWidth="1"/>
    <col min="6661" max="6661" width="11.42578125" style="30" customWidth="1"/>
    <col min="6662" max="6662" width="9.7109375" style="30" customWidth="1"/>
    <col min="6663" max="6663" width="15" style="30" customWidth="1"/>
    <col min="6664" max="6912" width="9.140625" style="30"/>
    <col min="6913" max="6913" width="34" style="30" customWidth="1"/>
    <col min="6914" max="6914" width="14.42578125" style="30" customWidth="1"/>
    <col min="6915" max="6915" width="12.7109375" style="30" customWidth="1"/>
    <col min="6916" max="6916" width="12.28515625" style="30" customWidth="1"/>
    <col min="6917" max="6917" width="11.42578125" style="30" customWidth="1"/>
    <col min="6918" max="6918" width="9.7109375" style="30" customWidth="1"/>
    <col min="6919" max="6919" width="15" style="30" customWidth="1"/>
    <col min="6920" max="7168" width="9.140625" style="30"/>
    <col min="7169" max="7169" width="34" style="30" customWidth="1"/>
    <col min="7170" max="7170" width="14.42578125" style="30" customWidth="1"/>
    <col min="7171" max="7171" width="12.7109375" style="30" customWidth="1"/>
    <col min="7172" max="7172" width="12.28515625" style="30" customWidth="1"/>
    <col min="7173" max="7173" width="11.42578125" style="30" customWidth="1"/>
    <col min="7174" max="7174" width="9.7109375" style="30" customWidth="1"/>
    <col min="7175" max="7175" width="15" style="30" customWidth="1"/>
    <col min="7176" max="7424" width="9.140625" style="30"/>
    <col min="7425" max="7425" width="34" style="30" customWidth="1"/>
    <col min="7426" max="7426" width="14.42578125" style="30" customWidth="1"/>
    <col min="7427" max="7427" width="12.7109375" style="30" customWidth="1"/>
    <col min="7428" max="7428" width="12.28515625" style="30" customWidth="1"/>
    <col min="7429" max="7429" width="11.42578125" style="30" customWidth="1"/>
    <col min="7430" max="7430" width="9.7109375" style="30" customWidth="1"/>
    <col min="7431" max="7431" width="15" style="30" customWidth="1"/>
    <col min="7432" max="7680" width="9.140625" style="30"/>
    <col min="7681" max="7681" width="34" style="30" customWidth="1"/>
    <col min="7682" max="7682" width="14.42578125" style="30" customWidth="1"/>
    <col min="7683" max="7683" width="12.7109375" style="30" customWidth="1"/>
    <col min="7684" max="7684" width="12.28515625" style="30" customWidth="1"/>
    <col min="7685" max="7685" width="11.42578125" style="30" customWidth="1"/>
    <col min="7686" max="7686" width="9.7109375" style="30" customWidth="1"/>
    <col min="7687" max="7687" width="15" style="30" customWidth="1"/>
    <col min="7688" max="7936" width="9.140625" style="30"/>
    <col min="7937" max="7937" width="34" style="30" customWidth="1"/>
    <col min="7938" max="7938" width="14.42578125" style="30" customWidth="1"/>
    <col min="7939" max="7939" width="12.7109375" style="30" customWidth="1"/>
    <col min="7940" max="7940" width="12.28515625" style="30" customWidth="1"/>
    <col min="7941" max="7941" width="11.42578125" style="30" customWidth="1"/>
    <col min="7942" max="7942" width="9.7109375" style="30" customWidth="1"/>
    <col min="7943" max="7943" width="15" style="30" customWidth="1"/>
    <col min="7944" max="8192" width="9.140625" style="30"/>
    <col min="8193" max="8193" width="34" style="30" customWidth="1"/>
    <col min="8194" max="8194" width="14.42578125" style="30" customWidth="1"/>
    <col min="8195" max="8195" width="12.7109375" style="30" customWidth="1"/>
    <col min="8196" max="8196" width="12.28515625" style="30" customWidth="1"/>
    <col min="8197" max="8197" width="11.42578125" style="30" customWidth="1"/>
    <col min="8198" max="8198" width="9.7109375" style="30" customWidth="1"/>
    <col min="8199" max="8199" width="15" style="30" customWidth="1"/>
    <col min="8200" max="8448" width="9.140625" style="30"/>
    <col min="8449" max="8449" width="34" style="30" customWidth="1"/>
    <col min="8450" max="8450" width="14.42578125" style="30" customWidth="1"/>
    <col min="8451" max="8451" width="12.7109375" style="30" customWidth="1"/>
    <col min="8452" max="8452" width="12.28515625" style="30" customWidth="1"/>
    <col min="8453" max="8453" width="11.42578125" style="30" customWidth="1"/>
    <col min="8454" max="8454" width="9.7109375" style="30" customWidth="1"/>
    <col min="8455" max="8455" width="15" style="30" customWidth="1"/>
    <col min="8456" max="8704" width="9.140625" style="30"/>
    <col min="8705" max="8705" width="34" style="30" customWidth="1"/>
    <col min="8706" max="8706" width="14.42578125" style="30" customWidth="1"/>
    <col min="8707" max="8707" width="12.7109375" style="30" customWidth="1"/>
    <col min="8708" max="8708" width="12.28515625" style="30" customWidth="1"/>
    <col min="8709" max="8709" width="11.42578125" style="30" customWidth="1"/>
    <col min="8710" max="8710" width="9.7109375" style="30" customWidth="1"/>
    <col min="8711" max="8711" width="15" style="30" customWidth="1"/>
    <col min="8712" max="8960" width="9.140625" style="30"/>
    <col min="8961" max="8961" width="34" style="30" customWidth="1"/>
    <col min="8962" max="8962" width="14.42578125" style="30" customWidth="1"/>
    <col min="8963" max="8963" width="12.7109375" style="30" customWidth="1"/>
    <col min="8964" max="8964" width="12.28515625" style="30" customWidth="1"/>
    <col min="8965" max="8965" width="11.42578125" style="30" customWidth="1"/>
    <col min="8966" max="8966" width="9.7109375" style="30" customWidth="1"/>
    <col min="8967" max="8967" width="15" style="30" customWidth="1"/>
    <col min="8968" max="9216" width="9.140625" style="30"/>
    <col min="9217" max="9217" width="34" style="30" customWidth="1"/>
    <col min="9218" max="9218" width="14.42578125" style="30" customWidth="1"/>
    <col min="9219" max="9219" width="12.7109375" style="30" customWidth="1"/>
    <col min="9220" max="9220" width="12.28515625" style="30" customWidth="1"/>
    <col min="9221" max="9221" width="11.42578125" style="30" customWidth="1"/>
    <col min="9222" max="9222" width="9.7109375" style="30" customWidth="1"/>
    <col min="9223" max="9223" width="15" style="30" customWidth="1"/>
    <col min="9224" max="9472" width="9.140625" style="30"/>
    <col min="9473" max="9473" width="34" style="30" customWidth="1"/>
    <col min="9474" max="9474" width="14.42578125" style="30" customWidth="1"/>
    <col min="9475" max="9475" width="12.7109375" style="30" customWidth="1"/>
    <col min="9476" max="9476" width="12.28515625" style="30" customWidth="1"/>
    <col min="9477" max="9477" width="11.42578125" style="30" customWidth="1"/>
    <col min="9478" max="9478" width="9.7109375" style="30" customWidth="1"/>
    <col min="9479" max="9479" width="15" style="30" customWidth="1"/>
    <col min="9480" max="9728" width="9.140625" style="30"/>
    <col min="9729" max="9729" width="34" style="30" customWidth="1"/>
    <col min="9730" max="9730" width="14.42578125" style="30" customWidth="1"/>
    <col min="9731" max="9731" width="12.7109375" style="30" customWidth="1"/>
    <col min="9732" max="9732" width="12.28515625" style="30" customWidth="1"/>
    <col min="9733" max="9733" width="11.42578125" style="30" customWidth="1"/>
    <col min="9734" max="9734" width="9.7109375" style="30" customWidth="1"/>
    <col min="9735" max="9735" width="15" style="30" customWidth="1"/>
    <col min="9736" max="9984" width="9.140625" style="30"/>
    <col min="9985" max="9985" width="34" style="30" customWidth="1"/>
    <col min="9986" max="9986" width="14.42578125" style="30" customWidth="1"/>
    <col min="9987" max="9987" width="12.7109375" style="30" customWidth="1"/>
    <col min="9988" max="9988" width="12.28515625" style="30" customWidth="1"/>
    <col min="9989" max="9989" width="11.42578125" style="30" customWidth="1"/>
    <col min="9990" max="9990" width="9.7109375" style="30" customWidth="1"/>
    <col min="9991" max="9991" width="15" style="30" customWidth="1"/>
    <col min="9992" max="10240" width="9.140625" style="30"/>
    <col min="10241" max="10241" width="34" style="30" customWidth="1"/>
    <col min="10242" max="10242" width="14.42578125" style="30" customWidth="1"/>
    <col min="10243" max="10243" width="12.7109375" style="30" customWidth="1"/>
    <col min="10244" max="10244" width="12.28515625" style="30" customWidth="1"/>
    <col min="10245" max="10245" width="11.42578125" style="30" customWidth="1"/>
    <col min="10246" max="10246" width="9.7109375" style="30" customWidth="1"/>
    <col min="10247" max="10247" width="15" style="30" customWidth="1"/>
    <col min="10248" max="10496" width="9.140625" style="30"/>
    <col min="10497" max="10497" width="34" style="30" customWidth="1"/>
    <col min="10498" max="10498" width="14.42578125" style="30" customWidth="1"/>
    <col min="10499" max="10499" width="12.7109375" style="30" customWidth="1"/>
    <col min="10500" max="10500" width="12.28515625" style="30" customWidth="1"/>
    <col min="10501" max="10501" width="11.42578125" style="30" customWidth="1"/>
    <col min="10502" max="10502" width="9.7109375" style="30" customWidth="1"/>
    <col min="10503" max="10503" width="15" style="30" customWidth="1"/>
    <col min="10504" max="10752" width="9.140625" style="30"/>
    <col min="10753" max="10753" width="34" style="30" customWidth="1"/>
    <col min="10754" max="10754" width="14.42578125" style="30" customWidth="1"/>
    <col min="10755" max="10755" width="12.7109375" style="30" customWidth="1"/>
    <col min="10756" max="10756" width="12.28515625" style="30" customWidth="1"/>
    <col min="10757" max="10757" width="11.42578125" style="30" customWidth="1"/>
    <col min="10758" max="10758" width="9.7109375" style="30" customWidth="1"/>
    <col min="10759" max="10759" width="15" style="30" customWidth="1"/>
    <col min="10760" max="11008" width="9.140625" style="30"/>
    <col min="11009" max="11009" width="34" style="30" customWidth="1"/>
    <col min="11010" max="11010" width="14.42578125" style="30" customWidth="1"/>
    <col min="11011" max="11011" width="12.7109375" style="30" customWidth="1"/>
    <col min="11012" max="11012" width="12.28515625" style="30" customWidth="1"/>
    <col min="11013" max="11013" width="11.42578125" style="30" customWidth="1"/>
    <col min="11014" max="11014" width="9.7109375" style="30" customWidth="1"/>
    <col min="11015" max="11015" width="15" style="30" customWidth="1"/>
    <col min="11016" max="11264" width="9.140625" style="30"/>
    <col min="11265" max="11265" width="34" style="30" customWidth="1"/>
    <col min="11266" max="11266" width="14.42578125" style="30" customWidth="1"/>
    <col min="11267" max="11267" width="12.7109375" style="30" customWidth="1"/>
    <col min="11268" max="11268" width="12.28515625" style="30" customWidth="1"/>
    <col min="11269" max="11269" width="11.42578125" style="30" customWidth="1"/>
    <col min="11270" max="11270" width="9.7109375" style="30" customWidth="1"/>
    <col min="11271" max="11271" width="15" style="30" customWidth="1"/>
    <col min="11272" max="11520" width="9.140625" style="30"/>
    <col min="11521" max="11521" width="34" style="30" customWidth="1"/>
    <col min="11522" max="11522" width="14.42578125" style="30" customWidth="1"/>
    <col min="11523" max="11523" width="12.7109375" style="30" customWidth="1"/>
    <col min="11524" max="11524" width="12.28515625" style="30" customWidth="1"/>
    <col min="11525" max="11525" width="11.42578125" style="30" customWidth="1"/>
    <col min="11526" max="11526" width="9.7109375" style="30" customWidth="1"/>
    <col min="11527" max="11527" width="15" style="30" customWidth="1"/>
    <col min="11528" max="11776" width="9.140625" style="30"/>
    <col min="11777" max="11777" width="34" style="30" customWidth="1"/>
    <col min="11778" max="11778" width="14.42578125" style="30" customWidth="1"/>
    <col min="11779" max="11779" width="12.7109375" style="30" customWidth="1"/>
    <col min="11780" max="11780" width="12.28515625" style="30" customWidth="1"/>
    <col min="11781" max="11781" width="11.42578125" style="30" customWidth="1"/>
    <col min="11782" max="11782" width="9.7109375" style="30" customWidth="1"/>
    <col min="11783" max="11783" width="15" style="30" customWidth="1"/>
    <col min="11784" max="12032" width="9.140625" style="30"/>
    <col min="12033" max="12033" width="34" style="30" customWidth="1"/>
    <col min="12034" max="12034" width="14.42578125" style="30" customWidth="1"/>
    <col min="12035" max="12035" width="12.7109375" style="30" customWidth="1"/>
    <col min="12036" max="12036" width="12.28515625" style="30" customWidth="1"/>
    <col min="12037" max="12037" width="11.42578125" style="30" customWidth="1"/>
    <col min="12038" max="12038" width="9.7109375" style="30" customWidth="1"/>
    <col min="12039" max="12039" width="15" style="30" customWidth="1"/>
    <col min="12040" max="12288" width="9.140625" style="30"/>
    <col min="12289" max="12289" width="34" style="30" customWidth="1"/>
    <col min="12290" max="12290" width="14.42578125" style="30" customWidth="1"/>
    <col min="12291" max="12291" width="12.7109375" style="30" customWidth="1"/>
    <col min="12292" max="12292" width="12.28515625" style="30" customWidth="1"/>
    <col min="12293" max="12293" width="11.42578125" style="30" customWidth="1"/>
    <col min="12294" max="12294" width="9.7109375" style="30" customWidth="1"/>
    <col min="12295" max="12295" width="15" style="30" customWidth="1"/>
    <col min="12296" max="12544" width="9.140625" style="30"/>
    <col min="12545" max="12545" width="34" style="30" customWidth="1"/>
    <col min="12546" max="12546" width="14.42578125" style="30" customWidth="1"/>
    <col min="12547" max="12547" width="12.7109375" style="30" customWidth="1"/>
    <col min="12548" max="12548" width="12.28515625" style="30" customWidth="1"/>
    <col min="12549" max="12549" width="11.42578125" style="30" customWidth="1"/>
    <col min="12550" max="12550" width="9.7109375" style="30" customWidth="1"/>
    <col min="12551" max="12551" width="15" style="30" customWidth="1"/>
    <col min="12552" max="12800" width="9.140625" style="30"/>
    <col min="12801" max="12801" width="34" style="30" customWidth="1"/>
    <col min="12802" max="12802" width="14.42578125" style="30" customWidth="1"/>
    <col min="12803" max="12803" width="12.7109375" style="30" customWidth="1"/>
    <col min="12804" max="12804" width="12.28515625" style="30" customWidth="1"/>
    <col min="12805" max="12805" width="11.42578125" style="30" customWidth="1"/>
    <col min="12806" max="12806" width="9.7109375" style="30" customWidth="1"/>
    <col min="12807" max="12807" width="15" style="30" customWidth="1"/>
    <col min="12808" max="13056" width="9.140625" style="30"/>
    <col min="13057" max="13057" width="34" style="30" customWidth="1"/>
    <col min="13058" max="13058" width="14.42578125" style="30" customWidth="1"/>
    <col min="13059" max="13059" width="12.7109375" style="30" customWidth="1"/>
    <col min="13060" max="13060" width="12.28515625" style="30" customWidth="1"/>
    <col min="13061" max="13061" width="11.42578125" style="30" customWidth="1"/>
    <col min="13062" max="13062" width="9.7109375" style="30" customWidth="1"/>
    <col min="13063" max="13063" width="15" style="30" customWidth="1"/>
    <col min="13064" max="13312" width="9.140625" style="30"/>
    <col min="13313" max="13313" width="34" style="30" customWidth="1"/>
    <col min="13314" max="13314" width="14.42578125" style="30" customWidth="1"/>
    <col min="13315" max="13315" width="12.7109375" style="30" customWidth="1"/>
    <col min="13316" max="13316" width="12.28515625" style="30" customWidth="1"/>
    <col min="13317" max="13317" width="11.42578125" style="30" customWidth="1"/>
    <col min="13318" max="13318" width="9.7109375" style="30" customWidth="1"/>
    <col min="13319" max="13319" width="15" style="30" customWidth="1"/>
    <col min="13320" max="13568" width="9.140625" style="30"/>
    <col min="13569" max="13569" width="34" style="30" customWidth="1"/>
    <col min="13570" max="13570" width="14.42578125" style="30" customWidth="1"/>
    <col min="13571" max="13571" width="12.7109375" style="30" customWidth="1"/>
    <col min="13572" max="13572" width="12.28515625" style="30" customWidth="1"/>
    <col min="13573" max="13573" width="11.42578125" style="30" customWidth="1"/>
    <col min="13574" max="13574" width="9.7109375" style="30" customWidth="1"/>
    <col min="13575" max="13575" width="15" style="30" customWidth="1"/>
    <col min="13576" max="13824" width="9.140625" style="30"/>
    <col min="13825" max="13825" width="34" style="30" customWidth="1"/>
    <col min="13826" max="13826" width="14.42578125" style="30" customWidth="1"/>
    <col min="13827" max="13827" width="12.7109375" style="30" customWidth="1"/>
    <col min="13828" max="13828" width="12.28515625" style="30" customWidth="1"/>
    <col min="13829" max="13829" width="11.42578125" style="30" customWidth="1"/>
    <col min="13830" max="13830" width="9.7109375" style="30" customWidth="1"/>
    <col min="13831" max="13831" width="15" style="30" customWidth="1"/>
    <col min="13832" max="14080" width="9.140625" style="30"/>
    <col min="14081" max="14081" width="34" style="30" customWidth="1"/>
    <col min="14082" max="14082" width="14.42578125" style="30" customWidth="1"/>
    <col min="14083" max="14083" width="12.7109375" style="30" customWidth="1"/>
    <col min="14084" max="14084" width="12.28515625" style="30" customWidth="1"/>
    <col min="14085" max="14085" width="11.42578125" style="30" customWidth="1"/>
    <col min="14086" max="14086" width="9.7109375" style="30" customWidth="1"/>
    <col min="14087" max="14087" width="15" style="30" customWidth="1"/>
    <col min="14088" max="14336" width="9.140625" style="30"/>
    <col min="14337" max="14337" width="34" style="30" customWidth="1"/>
    <col min="14338" max="14338" width="14.42578125" style="30" customWidth="1"/>
    <col min="14339" max="14339" width="12.7109375" style="30" customWidth="1"/>
    <col min="14340" max="14340" width="12.28515625" style="30" customWidth="1"/>
    <col min="14341" max="14341" width="11.42578125" style="30" customWidth="1"/>
    <col min="14342" max="14342" width="9.7109375" style="30" customWidth="1"/>
    <col min="14343" max="14343" width="15" style="30" customWidth="1"/>
    <col min="14344" max="14592" width="9.140625" style="30"/>
    <col min="14593" max="14593" width="34" style="30" customWidth="1"/>
    <col min="14594" max="14594" width="14.42578125" style="30" customWidth="1"/>
    <col min="14595" max="14595" width="12.7109375" style="30" customWidth="1"/>
    <col min="14596" max="14596" width="12.28515625" style="30" customWidth="1"/>
    <col min="14597" max="14597" width="11.42578125" style="30" customWidth="1"/>
    <col min="14598" max="14598" width="9.7109375" style="30" customWidth="1"/>
    <col min="14599" max="14599" width="15" style="30" customWidth="1"/>
    <col min="14600" max="14848" width="9.140625" style="30"/>
    <col min="14849" max="14849" width="34" style="30" customWidth="1"/>
    <col min="14850" max="14850" width="14.42578125" style="30" customWidth="1"/>
    <col min="14851" max="14851" width="12.7109375" style="30" customWidth="1"/>
    <col min="14852" max="14852" width="12.28515625" style="30" customWidth="1"/>
    <col min="14853" max="14853" width="11.42578125" style="30" customWidth="1"/>
    <col min="14854" max="14854" width="9.7109375" style="30" customWidth="1"/>
    <col min="14855" max="14855" width="15" style="30" customWidth="1"/>
    <col min="14856" max="15104" width="9.140625" style="30"/>
    <col min="15105" max="15105" width="34" style="30" customWidth="1"/>
    <col min="15106" max="15106" width="14.42578125" style="30" customWidth="1"/>
    <col min="15107" max="15107" width="12.7109375" style="30" customWidth="1"/>
    <col min="15108" max="15108" width="12.28515625" style="30" customWidth="1"/>
    <col min="15109" max="15109" width="11.42578125" style="30" customWidth="1"/>
    <col min="15110" max="15110" width="9.7109375" style="30" customWidth="1"/>
    <col min="15111" max="15111" width="15" style="30" customWidth="1"/>
    <col min="15112" max="15360" width="9.140625" style="30"/>
    <col min="15361" max="15361" width="34" style="30" customWidth="1"/>
    <col min="15362" max="15362" width="14.42578125" style="30" customWidth="1"/>
    <col min="15363" max="15363" width="12.7109375" style="30" customWidth="1"/>
    <col min="15364" max="15364" width="12.28515625" style="30" customWidth="1"/>
    <col min="15365" max="15365" width="11.42578125" style="30" customWidth="1"/>
    <col min="15366" max="15366" width="9.7109375" style="30" customWidth="1"/>
    <col min="15367" max="15367" width="15" style="30" customWidth="1"/>
    <col min="15368" max="15616" width="9.140625" style="30"/>
    <col min="15617" max="15617" width="34" style="30" customWidth="1"/>
    <col min="15618" max="15618" width="14.42578125" style="30" customWidth="1"/>
    <col min="15619" max="15619" width="12.7109375" style="30" customWidth="1"/>
    <col min="15620" max="15620" width="12.28515625" style="30" customWidth="1"/>
    <col min="15621" max="15621" width="11.42578125" style="30" customWidth="1"/>
    <col min="15622" max="15622" width="9.7109375" style="30" customWidth="1"/>
    <col min="15623" max="15623" width="15" style="30" customWidth="1"/>
    <col min="15624" max="15872" width="9.140625" style="30"/>
    <col min="15873" max="15873" width="34" style="30" customWidth="1"/>
    <col min="15874" max="15874" width="14.42578125" style="30" customWidth="1"/>
    <col min="15875" max="15875" width="12.7109375" style="30" customWidth="1"/>
    <col min="15876" max="15876" width="12.28515625" style="30" customWidth="1"/>
    <col min="15877" max="15877" width="11.42578125" style="30" customWidth="1"/>
    <col min="15878" max="15878" width="9.7109375" style="30" customWidth="1"/>
    <col min="15879" max="15879" width="15" style="30" customWidth="1"/>
    <col min="15880" max="16128" width="9.140625" style="30"/>
    <col min="16129" max="16129" width="34" style="30" customWidth="1"/>
    <col min="16130" max="16130" width="14.42578125" style="30" customWidth="1"/>
    <col min="16131" max="16131" width="12.7109375" style="30" customWidth="1"/>
    <col min="16132" max="16132" width="12.28515625" style="30" customWidth="1"/>
    <col min="16133" max="16133" width="11.42578125" style="30" customWidth="1"/>
    <col min="16134" max="16134" width="9.7109375" style="30" customWidth="1"/>
    <col min="16135" max="16135" width="15" style="30" customWidth="1"/>
    <col min="16136" max="16384" width="9.140625" style="30"/>
  </cols>
  <sheetData>
    <row r="1" spans="1:7" ht="15.75" customHeight="1">
      <c r="A1" s="164" t="s">
        <v>45</v>
      </c>
      <c r="B1" s="164"/>
      <c r="C1" s="164"/>
      <c r="D1" s="164"/>
      <c r="E1" s="164"/>
      <c r="F1" s="164"/>
      <c r="G1" s="164"/>
    </row>
    <row r="2" spans="1:7" ht="18.75" customHeight="1">
      <c r="A2" s="165" t="s">
        <v>46</v>
      </c>
      <c r="B2" s="165"/>
      <c r="C2" s="165"/>
      <c r="D2" s="165"/>
      <c r="E2" s="165"/>
      <c r="F2" s="165"/>
      <c r="G2" s="165"/>
    </row>
    <row r="3" spans="1:7" ht="20.25" customHeight="1">
      <c r="A3" s="165" t="s">
        <v>47</v>
      </c>
      <c r="B3" s="165"/>
      <c r="C3" s="165"/>
      <c r="D3" s="165"/>
      <c r="E3" s="165"/>
      <c r="F3" s="165"/>
      <c r="G3" s="165"/>
    </row>
    <row r="4" spans="1:7" ht="51" customHeight="1">
      <c r="A4" s="165" t="s">
        <v>93</v>
      </c>
      <c r="B4" s="165"/>
      <c r="C4" s="165"/>
      <c r="D4" s="165"/>
      <c r="E4" s="165"/>
      <c r="F4" s="165"/>
      <c r="G4" s="165"/>
    </row>
    <row r="5" spans="1:7">
      <c r="A5" s="31"/>
      <c r="B5" s="31"/>
      <c r="C5" s="31"/>
      <c r="D5" s="32" t="s">
        <v>48</v>
      </c>
      <c r="E5" s="31"/>
    </row>
    <row r="6" spans="1:7" ht="24.75" customHeight="1">
      <c r="A6" s="152" t="s">
        <v>94</v>
      </c>
      <c r="B6" s="152"/>
      <c r="C6" s="152"/>
      <c r="D6" s="152"/>
      <c r="E6" s="33">
        <v>108409.15000000002</v>
      </c>
    </row>
    <row r="7" spans="1:7" ht="18" customHeight="1">
      <c r="A7" s="152" t="s">
        <v>95</v>
      </c>
      <c r="B7" s="152"/>
      <c r="C7" s="152"/>
      <c r="D7" s="152"/>
      <c r="E7" s="34">
        <v>236511.41999999998</v>
      </c>
    </row>
    <row r="8" spans="1:7" ht="17.25" customHeight="1">
      <c r="A8" s="152" t="s">
        <v>96</v>
      </c>
      <c r="B8" s="152"/>
      <c r="C8" s="152"/>
      <c r="D8" s="152"/>
      <c r="E8" s="35">
        <v>243432.58000000002</v>
      </c>
    </row>
    <row r="9" spans="1:7">
      <c r="A9" s="152" t="s">
        <v>97</v>
      </c>
      <c r="B9" s="152"/>
      <c r="C9" s="152"/>
      <c r="D9" s="152"/>
      <c r="E9" s="36">
        <f>E8/E7</f>
        <v>1.0292635340822023</v>
      </c>
    </row>
    <row r="10" spans="1:7" ht="27.75" customHeight="1">
      <c r="A10" s="152" t="s">
        <v>98</v>
      </c>
      <c r="B10" s="152"/>
      <c r="C10" s="152"/>
      <c r="D10" s="152"/>
      <c r="E10" s="35">
        <f>E6+E7-E8</f>
        <v>101487.98999999999</v>
      </c>
    </row>
    <row r="11" spans="1:7" ht="14.25" customHeight="1">
      <c r="A11" s="152" t="s">
        <v>99</v>
      </c>
      <c r="B11" s="152"/>
      <c r="C11" s="152"/>
      <c r="D11" s="152"/>
      <c r="E11" s="37">
        <f>D32</f>
        <v>215985.92700281864</v>
      </c>
      <c r="F11" s="38"/>
    </row>
    <row r="12" spans="1:7" ht="25.5" customHeight="1">
      <c r="A12" s="152" t="s">
        <v>100</v>
      </c>
      <c r="B12" s="152"/>
      <c r="C12" s="152"/>
      <c r="D12" s="152"/>
      <c r="E12" s="35">
        <f>G62</f>
        <v>173782.44190623745</v>
      </c>
    </row>
    <row r="13" spans="1:7" s="40" customFormat="1" ht="25.5" customHeight="1">
      <c r="A13" s="163" t="s">
        <v>101</v>
      </c>
      <c r="B13" s="163"/>
      <c r="C13" s="163"/>
      <c r="D13" s="163"/>
      <c r="E13" s="39">
        <f>E12+E10</f>
        <v>275270.43190623744</v>
      </c>
      <c r="F13" s="119">
        <v>275270.43180370831</v>
      </c>
      <c r="G13" s="119">
        <f>F13-E13</f>
        <v>-1.0252912761643529E-4</v>
      </c>
    </row>
    <row r="14" spans="1:7" ht="27" customHeight="1">
      <c r="A14" s="152" t="s">
        <v>102</v>
      </c>
      <c r="B14" s="152"/>
      <c r="C14" s="152"/>
      <c r="D14" s="152"/>
      <c r="E14" s="41">
        <f>E8-E11</f>
        <v>27446.652997181372</v>
      </c>
      <c r="G14" s="73"/>
    </row>
    <row r="15" spans="1:7" ht="27.75" customHeight="1">
      <c r="A15" s="152" t="s">
        <v>103</v>
      </c>
      <c r="B15" s="152"/>
      <c r="C15" s="152"/>
      <c r="D15" s="152"/>
      <c r="E15" s="41">
        <f>11596.29+64773.47+46456.25-4847.58+E14</f>
        <v>145425.08299718139</v>
      </c>
      <c r="G15" s="73"/>
    </row>
    <row r="16" spans="1:7">
      <c r="A16" s="42"/>
      <c r="B16" s="42"/>
      <c r="C16" s="42"/>
      <c r="D16" s="42"/>
      <c r="E16" s="42"/>
    </row>
    <row r="17" spans="1:8" ht="19.5" customHeight="1">
      <c r="A17" s="153" t="s">
        <v>49</v>
      </c>
      <c r="B17" s="154"/>
      <c r="C17" s="136" t="s">
        <v>113</v>
      </c>
      <c r="D17" s="157" t="s">
        <v>114</v>
      </c>
      <c r="E17" s="157"/>
    </row>
    <row r="18" spans="1:8" ht="21.75" customHeight="1">
      <c r="A18" s="155"/>
      <c r="B18" s="156"/>
      <c r="C18" s="136"/>
      <c r="D18" s="43" t="s">
        <v>50</v>
      </c>
      <c r="E18" s="44" t="s">
        <v>51</v>
      </c>
      <c r="H18" s="31"/>
    </row>
    <row r="19" spans="1:8">
      <c r="A19" s="158" t="s">
        <v>52</v>
      </c>
      <c r="B19" s="159"/>
      <c r="C19" s="160">
        <v>939.1</v>
      </c>
      <c r="D19" s="161"/>
      <c r="E19" s="162"/>
    </row>
    <row r="20" spans="1:8">
      <c r="A20" s="147" t="s">
        <v>53</v>
      </c>
      <c r="B20" s="148"/>
      <c r="C20" s="45">
        <v>2.5099999999999998</v>
      </c>
      <c r="D20" s="45">
        <v>32089.45391777662</v>
      </c>
      <c r="E20" s="45">
        <v>2.8475361088432738</v>
      </c>
    </row>
    <row r="21" spans="1:8">
      <c r="A21" s="147" t="s">
        <v>54</v>
      </c>
      <c r="B21" s="148"/>
      <c r="C21" s="45">
        <v>2.44</v>
      </c>
      <c r="D21" s="45">
        <v>32266.331090089858</v>
      </c>
      <c r="E21" s="45">
        <v>2.8632317369546958</v>
      </c>
    </row>
    <row r="22" spans="1:8" ht="23.25" customHeight="1">
      <c r="A22" s="147" t="s">
        <v>55</v>
      </c>
      <c r="B22" s="148"/>
      <c r="C22" s="45">
        <v>0.77300000000000002</v>
      </c>
      <c r="D22" s="45">
        <v>4283.0333378522391</v>
      </c>
      <c r="E22" s="45">
        <v>0.38006542947611538</v>
      </c>
    </row>
    <row r="23" spans="1:8" ht="27" customHeight="1">
      <c r="A23" s="147" t="s">
        <v>56</v>
      </c>
      <c r="B23" s="148"/>
      <c r="C23" s="45">
        <v>2.4630000000000001</v>
      </c>
      <c r="D23" s="45">
        <v>28417.207597622844</v>
      </c>
      <c r="E23" s="45">
        <v>2.5216703579333797</v>
      </c>
    </row>
    <row r="24" spans="1:8">
      <c r="A24" s="147" t="s">
        <v>57</v>
      </c>
      <c r="B24" s="148"/>
      <c r="C24" s="45">
        <v>3.9</v>
      </c>
      <c r="D24" s="45">
        <v>28152.941355181174</v>
      </c>
      <c r="E24" s="45">
        <v>2.4982200471356593</v>
      </c>
    </row>
    <row r="25" spans="1:8">
      <c r="A25" s="147" t="s">
        <v>58</v>
      </c>
      <c r="B25" s="148"/>
      <c r="C25" s="45">
        <v>0.28999999999999998</v>
      </c>
      <c r="D25" s="45">
        <v>0</v>
      </c>
      <c r="E25" s="45">
        <v>0</v>
      </c>
    </row>
    <row r="26" spans="1:8">
      <c r="A26" s="147" t="s">
        <v>59</v>
      </c>
      <c r="B26" s="148"/>
      <c r="C26" s="45">
        <v>0.3</v>
      </c>
      <c r="D26" s="45">
        <v>443.2090781865183</v>
      </c>
      <c r="E26" s="45">
        <v>3.9329240601508386E-2</v>
      </c>
    </row>
    <row r="27" spans="1:8">
      <c r="A27" s="147" t="s">
        <v>60</v>
      </c>
      <c r="B27" s="148"/>
      <c r="C27" s="45">
        <v>2.6</v>
      </c>
      <c r="D27" s="45">
        <v>21855.123853164903</v>
      </c>
      <c r="E27" s="45">
        <v>1.9393678214216541</v>
      </c>
    </row>
    <row r="28" spans="1:8">
      <c r="A28" s="147" t="s">
        <v>18</v>
      </c>
      <c r="B28" s="148"/>
      <c r="C28" s="45">
        <v>4.5199999999999996</v>
      </c>
      <c r="D28" s="45">
        <v>53004.621313671756</v>
      </c>
      <c r="E28" s="45">
        <v>4.7034945971028783</v>
      </c>
    </row>
    <row r="29" spans="1:8">
      <c r="A29" s="147" t="s">
        <v>61</v>
      </c>
      <c r="B29" s="148"/>
      <c r="C29" s="45">
        <v>0.67</v>
      </c>
      <c r="D29" s="45">
        <v>9527.42</v>
      </c>
      <c r="E29" s="45">
        <v>0.84543889539630135</v>
      </c>
    </row>
    <row r="30" spans="1:8">
      <c r="A30" s="147" t="s">
        <v>62</v>
      </c>
      <c r="B30" s="148"/>
      <c r="C30" s="45">
        <v>20.466000000000001</v>
      </c>
      <c r="D30" s="45">
        <v>210039.34154354592</v>
      </c>
      <c r="E30" s="45">
        <v>18.638354234865467</v>
      </c>
    </row>
    <row r="31" spans="1:8">
      <c r="A31" s="147" t="s">
        <v>63</v>
      </c>
      <c r="B31" s="148"/>
      <c r="C31" s="45">
        <v>0.6</v>
      </c>
      <c r="D31" s="45">
        <v>5946.5854592727164</v>
      </c>
      <c r="E31" s="45">
        <v>0.52768479211236963</v>
      </c>
    </row>
    <row r="32" spans="1:8">
      <c r="A32" s="149" t="s">
        <v>64</v>
      </c>
      <c r="B32" s="150"/>
      <c r="C32" s="46">
        <v>21.066000000000003</v>
      </c>
      <c r="D32" s="46">
        <v>215985.92700281864</v>
      </c>
      <c r="E32" s="46">
        <v>19.166039026977838</v>
      </c>
    </row>
    <row r="33" spans="1:7">
      <c r="A33" s="47"/>
      <c r="B33" s="47"/>
      <c r="C33" s="48"/>
      <c r="D33" s="48"/>
      <c r="E33" s="48"/>
    </row>
    <row r="34" spans="1:7" ht="15">
      <c r="A34" s="151" t="s">
        <v>65</v>
      </c>
      <c r="B34" s="151"/>
      <c r="C34" s="151"/>
      <c r="D34" s="151"/>
      <c r="E34" s="151"/>
      <c r="F34" s="151"/>
      <c r="G34" s="151"/>
    </row>
    <row r="35" spans="1:7" ht="25.5">
      <c r="A35" s="136" t="s">
        <v>66</v>
      </c>
      <c r="B35" s="136"/>
      <c r="C35" s="136"/>
      <c r="D35" s="136"/>
      <c r="E35" s="49" t="s">
        <v>67</v>
      </c>
      <c r="F35" s="43" t="s">
        <v>68</v>
      </c>
    </row>
    <row r="36" spans="1:7" s="50" customFormat="1" ht="15" customHeight="1">
      <c r="A36" s="144" t="s">
        <v>162</v>
      </c>
      <c r="B36" s="145"/>
      <c r="C36" s="145"/>
      <c r="D36" s="146"/>
      <c r="E36" s="114" t="s">
        <v>69</v>
      </c>
      <c r="F36" s="115">
        <v>49.59</v>
      </c>
    </row>
    <row r="37" spans="1:7" s="50" customFormat="1" ht="15">
      <c r="A37" s="144" t="s">
        <v>146</v>
      </c>
      <c r="B37" s="145"/>
      <c r="C37" s="145"/>
      <c r="D37" s="146"/>
      <c r="E37" s="114" t="s">
        <v>210</v>
      </c>
      <c r="F37" s="115">
        <f>1320+10</f>
        <v>1330</v>
      </c>
    </row>
    <row r="38" spans="1:7" s="50" customFormat="1" ht="15" customHeight="1">
      <c r="A38" s="144" t="s">
        <v>177</v>
      </c>
      <c r="B38" s="145"/>
      <c r="C38" s="145"/>
      <c r="D38" s="146"/>
      <c r="E38" s="114" t="s">
        <v>217</v>
      </c>
      <c r="F38" s="115">
        <v>6.5</v>
      </c>
    </row>
    <row r="39" spans="1:7" s="50" customFormat="1" ht="25.5">
      <c r="A39" s="141" t="s">
        <v>185</v>
      </c>
      <c r="B39" s="142"/>
      <c r="C39" s="142"/>
      <c r="D39" s="143"/>
      <c r="E39" s="113" t="s">
        <v>212</v>
      </c>
      <c r="F39" s="115">
        <f>1530+300</f>
        <v>1830</v>
      </c>
    </row>
    <row r="40" spans="1:7" s="50" customFormat="1" ht="15">
      <c r="A40" s="144" t="s">
        <v>148</v>
      </c>
      <c r="B40" s="145"/>
      <c r="C40" s="145"/>
      <c r="D40" s="146"/>
      <c r="E40" s="116" t="s">
        <v>213</v>
      </c>
      <c r="F40" s="115">
        <f>496.32+757.28</f>
        <v>1253.5999999999999</v>
      </c>
    </row>
    <row r="41" spans="1:7" s="50" customFormat="1" ht="15">
      <c r="A41" s="144" t="s">
        <v>164</v>
      </c>
      <c r="B41" s="145"/>
      <c r="C41" s="145"/>
      <c r="D41" s="146"/>
      <c r="E41" s="117" t="s">
        <v>214</v>
      </c>
      <c r="F41" s="115">
        <v>365</v>
      </c>
    </row>
    <row r="42" spans="1:7" s="50" customFormat="1" ht="15">
      <c r="A42" s="144" t="s">
        <v>42</v>
      </c>
      <c r="B42" s="145"/>
      <c r="C42" s="145"/>
      <c r="D42" s="146"/>
      <c r="E42" s="114"/>
      <c r="F42" s="115">
        <v>35.380000000000003</v>
      </c>
    </row>
    <row r="43" spans="1:7" s="50" customFormat="1" ht="15" customHeight="1">
      <c r="A43" s="144" t="s">
        <v>44</v>
      </c>
      <c r="B43" s="145"/>
      <c r="C43" s="145"/>
      <c r="D43" s="146"/>
      <c r="E43" s="114" t="s">
        <v>211</v>
      </c>
      <c r="F43" s="115">
        <f>38+125.6+78.5</f>
        <v>242.1</v>
      </c>
    </row>
    <row r="44" spans="1:7" s="50" customFormat="1" ht="15" customHeight="1">
      <c r="A44" s="144" t="s">
        <v>43</v>
      </c>
      <c r="B44" s="145"/>
      <c r="C44" s="145"/>
      <c r="D44" s="146"/>
      <c r="E44" s="114"/>
      <c r="F44" s="115">
        <v>152</v>
      </c>
    </row>
    <row r="45" spans="1:7" s="50" customFormat="1" ht="15" customHeight="1">
      <c r="A45" s="144" t="s">
        <v>189</v>
      </c>
      <c r="B45" s="145"/>
      <c r="C45" s="145"/>
      <c r="D45" s="146"/>
      <c r="E45" s="116" t="s">
        <v>215</v>
      </c>
      <c r="F45" s="115">
        <v>793</v>
      </c>
    </row>
    <row r="46" spans="1:7" s="50" customFormat="1" ht="15" customHeight="1">
      <c r="A46" s="144" t="s">
        <v>41</v>
      </c>
      <c r="B46" s="145"/>
      <c r="C46" s="145"/>
      <c r="D46" s="146"/>
      <c r="E46" s="114" t="s">
        <v>218</v>
      </c>
      <c r="F46" s="115">
        <v>70</v>
      </c>
    </row>
    <row r="47" spans="1:7" s="50" customFormat="1" ht="15" customHeight="1">
      <c r="A47" s="144" t="s">
        <v>195</v>
      </c>
      <c r="B47" s="145"/>
      <c r="C47" s="145"/>
      <c r="D47" s="146"/>
      <c r="E47" s="116" t="s">
        <v>216</v>
      </c>
      <c r="F47" s="115">
        <v>3400.25</v>
      </c>
    </row>
    <row r="48" spans="1:7">
      <c r="A48" s="138" t="s">
        <v>70</v>
      </c>
      <c r="B48" s="139"/>
      <c r="C48" s="139"/>
      <c r="D48" s="140"/>
      <c r="E48" s="74"/>
      <c r="F48" s="75">
        <f>SUM(F36:F47)</f>
        <v>9527.4200000000019</v>
      </c>
      <c r="G48" s="118">
        <f>F48-D29</f>
        <v>0</v>
      </c>
    </row>
    <row r="49" spans="1:7">
      <c r="A49" s="51"/>
      <c r="B49" s="51"/>
      <c r="C49" s="48"/>
      <c r="D49" s="48"/>
      <c r="E49" s="48"/>
    </row>
    <row r="50" spans="1:7" ht="15">
      <c r="A50" s="134" t="s">
        <v>71</v>
      </c>
      <c r="B50" s="134"/>
      <c r="C50" s="134"/>
      <c r="D50" s="134"/>
      <c r="E50" s="134"/>
      <c r="F50" s="134"/>
      <c r="G50" s="134"/>
    </row>
    <row r="51" spans="1:7" s="40" customFormat="1" ht="19.5" customHeight="1">
      <c r="A51" s="135"/>
      <c r="B51" s="136" t="s">
        <v>72</v>
      </c>
      <c r="C51" s="137" t="s">
        <v>110</v>
      </c>
      <c r="D51" s="137"/>
      <c r="E51" s="137"/>
      <c r="F51" s="137"/>
      <c r="G51" s="136" t="s">
        <v>115</v>
      </c>
    </row>
    <row r="52" spans="1:7" s="40" customFormat="1" ht="19.5" customHeight="1">
      <c r="A52" s="135"/>
      <c r="B52" s="136"/>
      <c r="C52" s="43" t="s">
        <v>73</v>
      </c>
      <c r="D52" s="43" t="s">
        <v>74</v>
      </c>
      <c r="E52" s="43" t="s">
        <v>75</v>
      </c>
      <c r="F52" s="43" t="s">
        <v>76</v>
      </c>
      <c r="G52" s="136"/>
    </row>
    <row r="53" spans="1:7" s="40" customFormat="1" ht="23.25">
      <c r="A53" s="193" t="s">
        <v>237</v>
      </c>
      <c r="B53" s="39">
        <f>SUM(B54:B55)</f>
        <v>44726.863708929654</v>
      </c>
      <c r="C53" s="39">
        <f>SUM(C54:C55)</f>
        <v>137336.63794348252</v>
      </c>
      <c r="D53" s="39">
        <f>SUM(D54:D55)</f>
        <v>114840.37867995762</v>
      </c>
      <c r="E53" s="39">
        <f>C53-D53</f>
        <v>22496.259263524902</v>
      </c>
      <c r="F53" s="52">
        <f>D53/C53</f>
        <v>0.83619622847631758</v>
      </c>
      <c r="G53" s="39">
        <f>B53+C53-D53</f>
        <v>67223.122972454556</v>
      </c>
    </row>
    <row r="54" spans="1:7">
      <c r="A54" s="53" t="s">
        <v>77</v>
      </c>
      <c r="B54" s="33">
        <v>25478.033708929666</v>
      </c>
      <c r="C54" s="35">
        <v>81931.967943482523</v>
      </c>
      <c r="D54" s="35">
        <v>68593.928679957622</v>
      </c>
      <c r="E54" s="35">
        <f>C54-D54</f>
        <v>13338.039263524901</v>
      </c>
      <c r="F54" s="54">
        <f>D54/C54</f>
        <v>0.83720592098159274</v>
      </c>
      <c r="G54" s="35">
        <f>B54+C54-D54</f>
        <v>38816.072972454567</v>
      </c>
    </row>
    <row r="55" spans="1:7">
      <c r="A55" s="53" t="s">
        <v>78</v>
      </c>
      <c r="B55" s="33">
        <v>19248.829999999987</v>
      </c>
      <c r="C55" s="35">
        <v>55404.67</v>
      </c>
      <c r="D55" s="35">
        <v>46246.450000000004</v>
      </c>
      <c r="E55" s="35">
        <f>C55-D55</f>
        <v>9158.2199999999939</v>
      </c>
      <c r="F55" s="54">
        <f>D55/C55</f>
        <v>0.83470310354704769</v>
      </c>
      <c r="G55" s="35">
        <f>B55+C55-D55</f>
        <v>28407.049999999981</v>
      </c>
    </row>
    <row r="56" spans="1:7">
      <c r="A56" s="34"/>
      <c r="B56" s="33"/>
      <c r="C56" s="35"/>
      <c r="D56" s="35"/>
      <c r="E56" s="35"/>
      <c r="F56" s="55"/>
      <c r="G56" s="35"/>
    </row>
    <row r="57" spans="1:7" s="40" customFormat="1" ht="23.25">
      <c r="A57" s="194" t="s">
        <v>238</v>
      </c>
      <c r="B57" s="39">
        <f>SUM(B58:B59)</f>
        <v>152341.19819730779</v>
      </c>
      <c r="C57" s="39">
        <f>SUM(C58:C59)</f>
        <v>267975.62205651752</v>
      </c>
      <c r="D57" s="39">
        <f>SUM(D58:D59)</f>
        <v>316010.8013200424</v>
      </c>
      <c r="E57" s="39">
        <f>C57-D57</f>
        <v>-48035.179263524886</v>
      </c>
      <c r="F57" s="52">
        <f>D57/C57</f>
        <v>1.1792520487307387</v>
      </c>
      <c r="G57" s="39">
        <f>B57+C57-D57</f>
        <v>104306.01893378288</v>
      </c>
    </row>
    <row r="58" spans="1:7">
      <c r="A58" s="34" t="s">
        <v>79</v>
      </c>
      <c r="B58" s="33">
        <v>125935.37000000005</v>
      </c>
      <c r="C58" s="35">
        <v>208635.52000000002</v>
      </c>
      <c r="D58" s="35">
        <v>258144.71000000002</v>
      </c>
      <c r="E58" s="35">
        <f>C58-D58</f>
        <v>-49509.19</v>
      </c>
      <c r="F58" s="54">
        <f>D58/C58</f>
        <v>1.2372999094305706</v>
      </c>
      <c r="G58" s="35">
        <f>B58+C58-D58</f>
        <v>76426.180000000051</v>
      </c>
    </row>
    <row r="59" spans="1:7">
      <c r="A59" s="34" t="s">
        <v>80</v>
      </c>
      <c r="B59" s="33">
        <v>26405.828197307739</v>
      </c>
      <c r="C59" s="35">
        <v>59340.102056517477</v>
      </c>
      <c r="D59" s="35">
        <v>57866.091320042375</v>
      </c>
      <c r="E59" s="35">
        <f>C59-D59</f>
        <v>1474.010736475102</v>
      </c>
      <c r="F59" s="54">
        <f>D59/C59</f>
        <v>0.975159956161329</v>
      </c>
      <c r="G59" s="35">
        <f>B59+C59-D59</f>
        <v>27879.838933782834</v>
      </c>
    </row>
    <row r="60" spans="1:7">
      <c r="A60" s="34"/>
      <c r="B60" s="33"/>
      <c r="C60" s="35"/>
      <c r="D60" s="35"/>
      <c r="E60" s="35"/>
      <c r="F60" s="54"/>
      <c r="G60" s="35"/>
    </row>
    <row r="61" spans="1:7" ht="25.5">
      <c r="A61" s="56" t="s">
        <v>81</v>
      </c>
      <c r="B61" s="33">
        <v>2492.4200000000019</v>
      </c>
      <c r="C61" s="35">
        <v>11052.95</v>
      </c>
      <c r="D61" s="35">
        <v>11292.07</v>
      </c>
      <c r="E61" s="35">
        <f>C61-D61</f>
        <v>-239.11999999999898</v>
      </c>
      <c r="F61" s="54">
        <f>D61/C61</f>
        <v>1.021634043400178</v>
      </c>
      <c r="G61" s="35">
        <f>B61+C61-D61</f>
        <v>2253.3000000000029</v>
      </c>
    </row>
    <row r="62" spans="1:7" s="40" customFormat="1" ht="15">
      <c r="A62" s="57" t="s">
        <v>82</v>
      </c>
      <c r="B62" s="58">
        <f t="shared" ref="B62:D62" si="0">B53+B57+B61</f>
        <v>199560.48190623746</v>
      </c>
      <c r="C62" s="58">
        <f t="shared" si="0"/>
        <v>416365.21</v>
      </c>
      <c r="D62" s="58">
        <f t="shared" si="0"/>
        <v>442143.25000000006</v>
      </c>
      <c r="E62" s="58">
        <f>E53+E57+E61</f>
        <v>-25778.039999999983</v>
      </c>
      <c r="F62" s="52">
        <f>D62/C62</f>
        <v>1.0619120891488509</v>
      </c>
      <c r="G62" s="58">
        <f>G53+G57+G61</f>
        <v>173782.44190623745</v>
      </c>
    </row>
    <row r="63" spans="1:7" s="40" customFormat="1" ht="15">
      <c r="A63" s="59"/>
      <c r="B63" s="60"/>
      <c r="C63" s="60"/>
      <c r="D63" s="60"/>
      <c r="E63" s="60"/>
      <c r="F63" s="61"/>
      <c r="G63" s="60"/>
    </row>
    <row r="65" spans="1:5">
      <c r="A65" s="30" t="s">
        <v>83</v>
      </c>
      <c r="E65" s="30" t="s">
        <v>84</v>
      </c>
    </row>
  </sheetData>
  <mergeCells count="52">
    <mergeCell ref="A13:D13"/>
    <mergeCell ref="A1:G1"/>
    <mergeCell ref="A2:G2"/>
    <mergeCell ref="A3:G3"/>
    <mergeCell ref="A4:G4"/>
    <mergeCell ref="A6:D6"/>
    <mergeCell ref="A7:D7"/>
    <mergeCell ref="A8:D8"/>
    <mergeCell ref="A9:D9"/>
    <mergeCell ref="A10:D10"/>
    <mergeCell ref="A11:D11"/>
    <mergeCell ref="A12:D12"/>
    <mergeCell ref="A25:B25"/>
    <mergeCell ref="A14:D14"/>
    <mergeCell ref="A15:D15"/>
    <mergeCell ref="A17:B18"/>
    <mergeCell ref="C17:C18"/>
    <mergeCell ref="D17:E17"/>
    <mergeCell ref="A19:B19"/>
    <mergeCell ref="C19:E19"/>
    <mergeCell ref="A20:B20"/>
    <mergeCell ref="A21:B21"/>
    <mergeCell ref="A22:B22"/>
    <mergeCell ref="A23:B23"/>
    <mergeCell ref="A24:B24"/>
    <mergeCell ref="A38:D38"/>
    <mergeCell ref="A26:B26"/>
    <mergeCell ref="A27:B27"/>
    <mergeCell ref="A28:B28"/>
    <mergeCell ref="A29:B29"/>
    <mergeCell ref="A30:B30"/>
    <mergeCell ref="A31:B31"/>
    <mergeCell ref="A32:B32"/>
    <mergeCell ref="A34:G34"/>
    <mergeCell ref="A35:D35"/>
    <mergeCell ref="A36:D36"/>
    <mergeCell ref="A37:D37"/>
    <mergeCell ref="A48:D4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50:G50"/>
    <mergeCell ref="A51:A52"/>
    <mergeCell ref="B51:B52"/>
    <mergeCell ref="C51:F51"/>
    <mergeCell ref="G51:G52"/>
  </mergeCells>
  <pageMargins left="0.88" right="0.23622047244094491" top="0.19685039370078741" bottom="0.15" header="0.19685039370078741" footer="0.15748031496062992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workbookViewId="0">
      <selection activeCell="B71" sqref="B71:B73"/>
    </sheetView>
  </sheetViews>
  <sheetFormatPr defaultRowHeight="12.75"/>
  <cols>
    <col min="1" max="1" width="9.140625" style="91" customWidth="1"/>
    <col min="2" max="2" width="44" style="91" customWidth="1"/>
    <col min="3" max="3" width="51.140625" style="91" customWidth="1"/>
    <col min="4" max="5" width="9.5703125" style="91" customWidth="1"/>
    <col min="6" max="6" width="11.28515625" style="91" customWidth="1"/>
    <col min="7" max="7" width="8.85546875" style="91" customWidth="1"/>
    <col min="8" max="8" width="10.85546875" style="91" customWidth="1"/>
    <col min="9" max="9" width="7.140625" style="91" customWidth="1"/>
    <col min="10" max="252" width="8.85546875" style="91" customWidth="1"/>
    <col min="253" max="253" width="8.28515625" style="91" customWidth="1"/>
    <col min="254" max="254" width="13.5703125" style="91" customWidth="1"/>
    <col min="255" max="255" width="25.28515625" style="91" customWidth="1"/>
    <col min="256" max="256" width="9.5703125" style="91" customWidth="1"/>
    <col min="257" max="257" width="13.42578125" style="91" customWidth="1"/>
    <col min="258" max="258" width="9.85546875" style="91" customWidth="1"/>
    <col min="259" max="259" width="13.42578125" style="91" customWidth="1"/>
    <col min="260" max="260" width="2.7109375" style="91" customWidth="1"/>
    <col min="261" max="261" width="13.42578125" style="91" customWidth="1"/>
    <col min="262" max="508" width="8.85546875" style="91" customWidth="1"/>
    <col min="509" max="509" width="8.28515625" style="91" customWidth="1"/>
    <col min="510" max="510" width="13.5703125" style="91" customWidth="1"/>
    <col min="511" max="511" width="25.28515625" style="91" customWidth="1"/>
    <col min="512" max="512" width="9.5703125" style="91" customWidth="1"/>
    <col min="513" max="513" width="13.42578125" style="91" customWidth="1"/>
    <col min="514" max="514" width="9.85546875" style="91" customWidth="1"/>
    <col min="515" max="515" width="13.42578125" style="91" customWidth="1"/>
    <col min="516" max="516" width="2.7109375" style="91" customWidth="1"/>
    <col min="517" max="517" width="13.42578125" style="91" customWidth="1"/>
    <col min="518" max="764" width="8.85546875" style="91" customWidth="1"/>
    <col min="765" max="765" width="8.28515625" style="91" customWidth="1"/>
    <col min="766" max="766" width="13.5703125" style="91" customWidth="1"/>
    <col min="767" max="767" width="25.28515625" style="91" customWidth="1"/>
    <col min="768" max="768" width="9.5703125" style="91" customWidth="1"/>
    <col min="769" max="769" width="13.42578125" style="91" customWidth="1"/>
    <col min="770" max="770" width="9.85546875" style="91" customWidth="1"/>
    <col min="771" max="771" width="13.42578125" style="91" customWidth="1"/>
    <col min="772" max="772" width="2.7109375" style="91" customWidth="1"/>
    <col min="773" max="773" width="13.42578125" style="91" customWidth="1"/>
    <col min="774" max="1020" width="8.85546875" style="91" customWidth="1"/>
    <col min="1021" max="1021" width="8.28515625" style="91" customWidth="1"/>
    <col min="1022" max="1022" width="13.5703125" style="91" customWidth="1"/>
    <col min="1023" max="1023" width="25.28515625" style="91" customWidth="1"/>
    <col min="1024" max="1024" width="9.5703125" style="91" customWidth="1"/>
    <col min="1025" max="1025" width="13.42578125" style="91" customWidth="1"/>
    <col min="1026" max="1026" width="9.85546875" style="91" customWidth="1"/>
    <col min="1027" max="1027" width="13.42578125" style="91" customWidth="1"/>
    <col min="1028" max="1028" width="2.7109375" style="91" customWidth="1"/>
    <col min="1029" max="1029" width="13.42578125" style="91" customWidth="1"/>
    <col min="1030" max="1276" width="8.85546875" style="91" customWidth="1"/>
    <col min="1277" max="1277" width="8.28515625" style="91" customWidth="1"/>
    <col min="1278" max="1278" width="13.5703125" style="91" customWidth="1"/>
    <col min="1279" max="1279" width="25.28515625" style="91" customWidth="1"/>
    <col min="1280" max="1280" width="9.5703125" style="91" customWidth="1"/>
    <col min="1281" max="1281" width="13.42578125" style="91" customWidth="1"/>
    <col min="1282" max="1282" width="9.85546875" style="91" customWidth="1"/>
    <col min="1283" max="1283" width="13.42578125" style="91" customWidth="1"/>
    <col min="1284" max="1284" width="2.7109375" style="91" customWidth="1"/>
    <col min="1285" max="1285" width="13.42578125" style="91" customWidth="1"/>
    <col min="1286" max="1532" width="8.85546875" style="91" customWidth="1"/>
    <col min="1533" max="1533" width="8.28515625" style="91" customWidth="1"/>
    <col min="1534" max="1534" width="13.5703125" style="91" customWidth="1"/>
    <col min="1535" max="1535" width="25.28515625" style="91" customWidth="1"/>
    <col min="1536" max="1536" width="9.5703125" style="91" customWidth="1"/>
    <col min="1537" max="1537" width="13.42578125" style="91" customWidth="1"/>
    <col min="1538" max="1538" width="9.85546875" style="91" customWidth="1"/>
    <col min="1539" max="1539" width="13.42578125" style="91" customWidth="1"/>
    <col min="1540" max="1540" width="2.7109375" style="91" customWidth="1"/>
    <col min="1541" max="1541" width="13.42578125" style="91" customWidth="1"/>
    <col min="1542" max="1788" width="8.85546875" style="91" customWidth="1"/>
    <col min="1789" max="1789" width="8.28515625" style="91" customWidth="1"/>
    <col min="1790" max="1790" width="13.5703125" style="91" customWidth="1"/>
    <col min="1791" max="1791" width="25.28515625" style="91" customWidth="1"/>
    <col min="1792" max="1792" width="9.5703125" style="91" customWidth="1"/>
    <col min="1793" max="1793" width="13.42578125" style="91" customWidth="1"/>
    <col min="1794" max="1794" width="9.85546875" style="91" customWidth="1"/>
    <col min="1795" max="1795" width="13.42578125" style="91" customWidth="1"/>
    <col min="1796" max="1796" width="2.7109375" style="91" customWidth="1"/>
    <col min="1797" max="1797" width="13.42578125" style="91" customWidth="1"/>
    <col min="1798" max="2044" width="8.85546875" style="91" customWidth="1"/>
    <col min="2045" max="2045" width="8.28515625" style="91" customWidth="1"/>
    <col min="2046" max="2046" width="13.5703125" style="91" customWidth="1"/>
    <col min="2047" max="2047" width="25.28515625" style="91" customWidth="1"/>
    <col min="2048" max="2048" width="9.5703125" style="91" customWidth="1"/>
    <col min="2049" max="2049" width="13.42578125" style="91" customWidth="1"/>
    <col min="2050" max="2050" width="9.85546875" style="91" customWidth="1"/>
    <col min="2051" max="2051" width="13.42578125" style="91" customWidth="1"/>
    <col min="2052" max="2052" width="2.7109375" style="91" customWidth="1"/>
    <col min="2053" max="2053" width="13.42578125" style="91" customWidth="1"/>
    <col min="2054" max="2300" width="8.85546875" style="91" customWidth="1"/>
    <col min="2301" max="2301" width="8.28515625" style="91" customWidth="1"/>
    <col min="2302" max="2302" width="13.5703125" style="91" customWidth="1"/>
    <col min="2303" max="2303" width="25.28515625" style="91" customWidth="1"/>
    <col min="2304" max="2304" width="9.5703125" style="91" customWidth="1"/>
    <col min="2305" max="2305" width="13.42578125" style="91" customWidth="1"/>
    <col min="2306" max="2306" width="9.85546875" style="91" customWidth="1"/>
    <col min="2307" max="2307" width="13.42578125" style="91" customWidth="1"/>
    <col min="2308" max="2308" width="2.7109375" style="91" customWidth="1"/>
    <col min="2309" max="2309" width="13.42578125" style="91" customWidth="1"/>
    <col min="2310" max="2556" width="8.85546875" style="91" customWidth="1"/>
    <col min="2557" max="2557" width="8.28515625" style="91" customWidth="1"/>
    <col min="2558" max="2558" width="13.5703125" style="91" customWidth="1"/>
    <col min="2559" max="2559" width="25.28515625" style="91" customWidth="1"/>
    <col min="2560" max="2560" width="9.5703125" style="91" customWidth="1"/>
    <col min="2561" max="2561" width="13.42578125" style="91" customWidth="1"/>
    <col min="2562" max="2562" width="9.85546875" style="91" customWidth="1"/>
    <col min="2563" max="2563" width="13.42578125" style="91" customWidth="1"/>
    <col min="2564" max="2564" width="2.7109375" style="91" customWidth="1"/>
    <col min="2565" max="2565" width="13.42578125" style="91" customWidth="1"/>
    <col min="2566" max="2812" width="8.85546875" style="91" customWidth="1"/>
    <col min="2813" max="2813" width="8.28515625" style="91" customWidth="1"/>
    <col min="2814" max="2814" width="13.5703125" style="91" customWidth="1"/>
    <col min="2815" max="2815" width="25.28515625" style="91" customWidth="1"/>
    <col min="2816" max="2816" width="9.5703125" style="91" customWidth="1"/>
    <col min="2817" max="2817" width="13.42578125" style="91" customWidth="1"/>
    <col min="2818" max="2818" width="9.85546875" style="91" customWidth="1"/>
    <col min="2819" max="2819" width="13.42578125" style="91" customWidth="1"/>
    <col min="2820" max="2820" width="2.7109375" style="91" customWidth="1"/>
    <col min="2821" max="2821" width="13.42578125" style="91" customWidth="1"/>
    <col min="2822" max="3068" width="8.85546875" style="91" customWidth="1"/>
    <col min="3069" max="3069" width="8.28515625" style="91" customWidth="1"/>
    <col min="3070" max="3070" width="13.5703125" style="91" customWidth="1"/>
    <col min="3071" max="3071" width="25.28515625" style="91" customWidth="1"/>
    <col min="3072" max="3072" width="9.5703125" style="91" customWidth="1"/>
    <col min="3073" max="3073" width="13.42578125" style="91" customWidth="1"/>
    <col min="3074" max="3074" width="9.85546875" style="91" customWidth="1"/>
    <col min="3075" max="3075" width="13.42578125" style="91" customWidth="1"/>
    <col min="3076" max="3076" width="2.7109375" style="91" customWidth="1"/>
    <col min="3077" max="3077" width="13.42578125" style="91" customWidth="1"/>
    <col min="3078" max="3324" width="8.85546875" style="91" customWidth="1"/>
    <col min="3325" max="3325" width="8.28515625" style="91" customWidth="1"/>
    <col min="3326" max="3326" width="13.5703125" style="91" customWidth="1"/>
    <col min="3327" max="3327" width="25.28515625" style="91" customWidth="1"/>
    <col min="3328" max="3328" width="9.5703125" style="91" customWidth="1"/>
    <col min="3329" max="3329" width="13.42578125" style="91" customWidth="1"/>
    <col min="3330" max="3330" width="9.85546875" style="91" customWidth="1"/>
    <col min="3331" max="3331" width="13.42578125" style="91" customWidth="1"/>
    <col min="3332" max="3332" width="2.7109375" style="91" customWidth="1"/>
    <col min="3333" max="3333" width="13.42578125" style="91" customWidth="1"/>
    <col min="3334" max="3580" width="8.85546875" style="91" customWidth="1"/>
    <col min="3581" max="3581" width="8.28515625" style="91" customWidth="1"/>
    <col min="3582" max="3582" width="13.5703125" style="91" customWidth="1"/>
    <col min="3583" max="3583" width="25.28515625" style="91" customWidth="1"/>
    <col min="3584" max="3584" width="9.5703125" style="91" customWidth="1"/>
    <col min="3585" max="3585" width="13.42578125" style="91" customWidth="1"/>
    <col min="3586" max="3586" width="9.85546875" style="91" customWidth="1"/>
    <col min="3587" max="3587" width="13.42578125" style="91" customWidth="1"/>
    <col min="3588" max="3588" width="2.7109375" style="91" customWidth="1"/>
    <col min="3589" max="3589" width="13.42578125" style="91" customWidth="1"/>
    <col min="3590" max="3836" width="8.85546875" style="91" customWidth="1"/>
    <col min="3837" max="3837" width="8.28515625" style="91" customWidth="1"/>
    <col min="3838" max="3838" width="13.5703125" style="91" customWidth="1"/>
    <col min="3839" max="3839" width="25.28515625" style="91" customWidth="1"/>
    <col min="3840" max="3840" width="9.5703125" style="91" customWidth="1"/>
    <col min="3841" max="3841" width="13.42578125" style="91" customWidth="1"/>
    <col min="3842" max="3842" width="9.85546875" style="91" customWidth="1"/>
    <col min="3843" max="3843" width="13.42578125" style="91" customWidth="1"/>
    <col min="3844" max="3844" width="2.7109375" style="91" customWidth="1"/>
    <col min="3845" max="3845" width="13.42578125" style="91" customWidth="1"/>
    <col min="3846" max="4092" width="8.85546875" style="91" customWidth="1"/>
    <col min="4093" max="4093" width="8.28515625" style="91" customWidth="1"/>
    <col min="4094" max="4094" width="13.5703125" style="91" customWidth="1"/>
    <col min="4095" max="4095" width="25.28515625" style="91" customWidth="1"/>
    <col min="4096" max="4096" width="9.5703125" style="91" customWidth="1"/>
    <col min="4097" max="4097" width="13.42578125" style="91" customWidth="1"/>
    <col min="4098" max="4098" width="9.85546875" style="91" customWidth="1"/>
    <col min="4099" max="4099" width="13.42578125" style="91" customWidth="1"/>
    <col min="4100" max="4100" width="2.7109375" style="91" customWidth="1"/>
    <col min="4101" max="4101" width="13.42578125" style="91" customWidth="1"/>
    <col min="4102" max="4348" width="8.85546875" style="91" customWidth="1"/>
    <col min="4349" max="4349" width="8.28515625" style="91" customWidth="1"/>
    <col min="4350" max="4350" width="13.5703125" style="91" customWidth="1"/>
    <col min="4351" max="4351" width="25.28515625" style="91" customWidth="1"/>
    <col min="4352" max="4352" width="9.5703125" style="91" customWidth="1"/>
    <col min="4353" max="4353" width="13.42578125" style="91" customWidth="1"/>
    <col min="4354" max="4354" width="9.85546875" style="91" customWidth="1"/>
    <col min="4355" max="4355" width="13.42578125" style="91" customWidth="1"/>
    <col min="4356" max="4356" width="2.7109375" style="91" customWidth="1"/>
    <col min="4357" max="4357" width="13.42578125" style="91" customWidth="1"/>
    <col min="4358" max="4604" width="8.85546875" style="91" customWidth="1"/>
    <col min="4605" max="4605" width="8.28515625" style="91" customWidth="1"/>
    <col min="4606" max="4606" width="13.5703125" style="91" customWidth="1"/>
    <col min="4607" max="4607" width="25.28515625" style="91" customWidth="1"/>
    <col min="4608" max="4608" width="9.5703125" style="91" customWidth="1"/>
    <col min="4609" max="4609" width="13.42578125" style="91" customWidth="1"/>
    <col min="4610" max="4610" width="9.85546875" style="91" customWidth="1"/>
    <col min="4611" max="4611" width="13.42578125" style="91" customWidth="1"/>
    <col min="4612" max="4612" width="2.7109375" style="91" customWidth="1"/>
    <col min="4613" max="4613" width="13.42578125" style="91" customWidth="1"/>
    <col min="4614" max="4860" width="8.85546875" style="91" customWidth="1"/>
    <col min="4861" max="4861" width="8.28515625" style="91" customWidth="1"/>
    <col min="4862" max="4862" width="13.5703125" style="91" customWidth="1"/>
    <col min="4863" max="4863" width="25.28515625" style="91" customWidth="1"/>
    <col min="4864" max="4864" width="9.5703125" style="91" customWidth="1"/>
    <col min="4865" max="4865" width="13.42578125" style="91" customWidth="1"/>
    <col min="4866" max="4866" width="9.85546875" style="91" customWidth="1"/>
    <col min="4867" max="4867" width="13.42578125" style="91" customWidth="1"/>
    <col min="4868" max="4868" width="2.7109375" style="91" customWidth="1"/>
    <col min="4869" max="4869" width="13.42578125" style="91" customWidth="1"/>
    <col min="4870" max="5116" width="8.85546875" style="91" customWidth="1"/>
    <col min="5117" max="5117" width="8.28515625" style="91" customWidth="1"/>
    <col min="5118" max="5118" width="13.5703125" style="91" customWidth="1"/>
    <col min="5119" max="5119" width="25.28515625" style="91" customWidth="1"/>
    <col min="5120" max="5120" width="9.5703125" style="91" customWidth="1"/>
    <col min="5121" max="5121" width="13.42578125" style="91" customWidth="1"/>
    <col min="5122" max="5122" width="9.85546875" style="91" customWidth="1"/>
    <col min="5123" max="5123" width="13.42578125" style="91" customWidth="1"/>
    <col min="5124" max="5124" width="2.7109375" style="91" customWidth="1"/>
    <col min="5125" max="5125" width="13.42578125" style="91" customWidth="1"/>
    <col min="5126" max="5372" width="8.85546875" style="91" customWidth="1"/>
    <col min="5373" max="5373" width="8.28515625" style="91" customWidth="1"/>
    <col min="5374" max="5374" width="13.5703125" style="91" customWidth="1"/>
    <col min="5375" max="5375" width="25.28515625" style="91" customWidth="1"/>
    <col min="5376" max="5376" width="9.5703125" style="91" customWidth="1"/>
    <col min="5377" max="5377" width="13.42578125" style="91" customWidth="1"/>
    <col min="5378" max="5378" width="9.85546875" style="91" customWidth="1"/>
    <col min="5379" max="5379" width="13.42578125" style="91" customWidth="1"/>
    <col min="5380" max="5380" width="2.7109375" style="91" customWidth="1"/>
    <col min="5381" max="5381" width="13.42578125" style="91" customWidth="1"/>
    <col min="5382" max="5628" width="8.85546875" style="91" customWidth="1"/>
    <col min="5629" max="5629" width="8.28515625" style="91" customWidth="1"/>
    <col min="5630" max="5630" width="13.5703125" style="91" customWidth="1"/>
    <col min="5631" max="5631" width="25.28515625" style="91" customWidth="1"/>
    <col min="5632" max="5632" width="9.5703125" style="91" customWidth="1"/>
    <col min="5633" max="5633" width="13.42578125" style="91" customWidth="1"/>
    <col min="5634" max="5634" width="9.85546875" style="91" customWidth="1"/>
    <col min="5635" max="5635" width="13.42578125" style="91" customWidth="1"/>
    <col min="5636" max="5636" width="2.7109375" style="91" customWidth="1"/>
    <col min="5637" max="5637" width="13.42578125" style="91" customWidth="1"/>
    <col min="5638" max="5884" width="8.85546875" style="91" customWidth="1"/>
    <col min="5885" max="5885" width="8.28515625" style="91" customWidth="1"/>
    <col min="5886" max="5886" width="13.5703125" style="91" customWidth="1"/>
    <col min="5887" max="5887" width="25.28515625" style="91" customWidth="1"/>
    <col min="5888" max="5888" width="9.5703125" style="91" customWidth="1"/>
    <col min="5889" max="5889" width="13.42578125" style="91" customWidth="1"/>
    <col min="5890" max="5890" width="9.85546875" style="91" customWidth="1"/>
    <col min="5891" max="5891" width="13.42578125" style="91" customWidth="1"/>
    <col min="5892" max="5892" width="2.7109375" style="91" customWidth="1"/>
    <col min="5893" max="5893" width="13.42578125" style="91" customWidth="1"/>
    <col min="5894" max="6140" width="8.85546875" style="91" customWidth="1"/>
    <col min="6141" max="6141" width="8.28515625" style="91" customWidth="1"/>
    <col min="6142" max="6142" width="13.5703125" style="91" customWidth="1"/>
    <col min="6143" max="6143" width="25.28515625" style="91" customWidth="1"/>
    <col min="6144" max="6144" width="9.5703125" style="91" customWidth="1"/>
    <col min="6145" max="6145" width="13.42578125" style="91" customWidth="1"/>
    <col min="6146" max="6146" width="9.85546875" style="91" customWidth="1"/>
    <col min="6147" max="6147" width="13.42578125" style="91" customWidth="1"/>
    <col min="6148" max="6148" width="2.7109375" style="91" customWidth="1"/>
    <col min="6149" max="6149" width="13.42578125" style="91" customWidth="1"/>
    <col min="6150" max="6396" width="8.85546875" style="91" customWidth="1"/>
    <col min="6397" max="6397" width="8.28515625" style="91" customWidth="1"/>
    <col min="6398" max="6398" width="13.5703125" style="91" customWidth="1"/>
    <col min="6399" max="6399" width="25.28515625" style="91" customWidth="1"/>
    <col min="6400" max="6400" width="9.5703125" style="91" customWidth="1"/>
    <col min="6401" max="6401" width="13.42578125" style="91" customWidth="1"/>
    <col min="6402" max="6402" width="9.85546875" style="91" customWidth="1"/>
    <col min="6403" max="6403" width="13.42578125" style="91" customWidth="1"/>
    <col min="6404" max="6404" width="2.7109375" style="91" customWidth="1"/>
    <col min="6405" max="6405" width="13.42578125" style="91" customWidth="1"/>
    <col min="6406" max="6652" width="8.85546875" style="91" customWidth="1"/>
    <col min="6653" max="6653" width="8.28515625" style="91" customWidth="1"/>
    <col min="6654" max="6654" width="13.5703125" style="91" customWidth="1"/>
    <col min="6655" max="6655" width="25.28515625" style="91" customWidth="1"/>
    <col min="6656" max="6656" width="9.5703125" style="91" customWidth="1"/>
    <col min="6657" max="6657" width="13.42578125" style="91" customWidth="1"/>
    <col min="6658" max="6658" width="9.85546875" style="91" customWidth="1"/>
    <col min="6659" max="6659" width="13.42578125" style="91" customWidth="1"/>
    <col min="6660" max="6660" width="2.7109375" style="91" customWidth="1"/>
    <col min="6661" max="6661" width="13.42578125" style="91" customWidth="1"/>
    <col min="6662" max="6908" width="8.85546875" style="91" customWidth="1"/>
    <col min="6909" max="6909" width="8.28515625" style="91" customWidth="1"/>
    <col min="6910" max="6910" width="13.5703125" style="91" customWidth="1"/>
    <col min="6911" max="6911" width="25.28515625" style="91" customWidth="1"/>
    <col min="6912" max="6912" width="9.5703125" style="91" customWidth="1"/>
    <col min="6913" max="6913" width="13.42578125" style="91" customWidth="1"/>
    <col min="6914" max="6914" width="9.85546875" style="91" customWidth="1"/>
    <col min="6915" max="6915" width="13.42578125" style="91" customWidth="1"/>
    <col min="6916" max="6916" width="2.7109375" style="91" customWidth="1"/>
    <col min="6917" max="6917" width="13.42578125" style="91" customWidth="1"/>
    <col min="6918" max="7164" width="8.85546875" style="91" customWidth="1"/>
    <col min="7165" max="7165" width="8.28515625" style="91" customWidth="1"/>
    <col min="7166" max="7166" width="13.5703125" style="91" customWidth="1"/>
    <col min="7167" max="7167" width="25.28515625" style="91" customWidth="1"/>
    <col min="7168" max="7168" width="9.5703125" style="91" customWidth="1"/>
    <col min="7169" max="7169" width="13.42578125" style="91" customWidth="1"/>
    <col min="7170" max="7170" width="9.85546875" style="91" customWidth="1"/>
    <col min="7171" max="7171" width="13.42578125" style="91" customWidth="1"/>
    <col min="7172" max="7172" width="2.7109375" style="91" customWidth="1"/>
    <col min="7173" max="7173" width="13.42578125" style="91" customWidth="1"/>
    <col min="7174" max="7420" width="8.85546875" style="91" customWidth="1"/>
    <col min="7421" max="7421" width="8.28515625" style="91" customWidth="1"/>
    <col min="7422" max="7422" width="13.5703125" style="91" customWidth="1"/>
    <col min="7423" max="7423" width="25.28515625" style="91" customWidth="1"/>
    <col min="7424" max="7424" width="9.5703125" style="91" customWidth="1"/>
    <col min="7425" max="7425" width="13.42578125" style="91" customWidth="1"/>
    <col min="7426" max="7426" width="9.85546875" style="91" customWidth="1"/>
    <col min="7427" max="7427" width="13.42578125" style="91" customWidth="1"/>
    <col min="7428" max="7428" width="2.7109375" style="91" customWidth="1"/>
    <col min="7429" max="7429" width="13.42578125" style="91" customWidth="1"/>
    <col min="7430" max="7676" width="8.85546875" style="91" customWidth="1"/>
    <col min="7677" max="7677" width="8.28515625" style="91" customWidth="1"/>
    <col min="7678" max="7678" width="13.5703125" style="91" customWidth="1"/>
    <col min="7679" max="7679" width="25.28515625" style="91" customWidth="1"/>
    <col min="7680" max="7680" width="9.5703125" style="91" customWidth="1"/>
    <col min="7681" max="7681" width="13.42578125" style="91" customWidth="1"/>
    <col min="7682" max="7682" width="9.85546875" style="91" customWidth="1"/>
    <col min="7683" max="7683" width="13.42578125" style="91" customWidth="1"/>
    <col min="7684" max="7684" width="2.7109375" style="91" customWidth="1"/>
    <col min="7685" max="7685" width="13.42578125" style="91" customWidth="1"/>
    <col min="7686" max="7932" width="8.85546875" style="91" customWidth="1"/>
    <col min="7933" max="7933" width="8.28515625" style="91" customWidth="1"/>
    <col min="7934" max="7934" width="13.5703125" style="91" customWidth="1"/>
    <col min="7935" max="7935" width="25.28515625" style="91" customWidth="1"/>
    <col min="7936" max="7936" width="9.5703125" style="91" customWidth="1"/>
    <col min="7937" max="7937" width="13.42578125" style="91" customWidth="1"/>
    <col min="7938" max="7938" width="9.85546875" style="91" customWidth="1"/>
    <col min="7939" max="7939" width="13.42578125" style="91" customWidth="1"/>
    <col min="7940" max="7940" width="2.7109375" style="91" customWidth="1"/>
    <col min="7941" max="7941" width="13.42578125" style="91" customWidth="1"/>
    <col min="7942" max="8188" width="8.85546875" style="91" customWidth="1"/>
    <col min="8189" max="8189" width="8.28515625" style="91" customWidth="1"/>
    <col min="8190" max="8190" width="13.5703125" style="91" customWidth="1"/>
    <col min="8191" max="8191" width="25.28515625" style="91" customWidth="1"/>
    <col min="8192" max="8192" width="9.5703125" style="91" customWidth="1"/>
    <col min="8193" max="8193" width="13.42578125" style="91" customWidth="1"/>
    <col min="8194" max="8194" width="9.85546875" style="91" customWidth="1"/>
    <col min="8195" max="8195" width="13.42578125" style="91" customWidth="1"/>
    <col min="8196" max="8196" width="2.7109375" style="91" customWidth="1"/>
    <col min="8197" max="8197" width="13.42578125" style="91" customWidth="1"/>
    <col min="8198" max="8444" width="8.85546875" style="91" customWidth="1"/>
    <col min="8445" max="8445" width="8.28515625" style="91" customWidth="1"/>
    <col min="8446" max="8446" width="13.5703125" style="91" customWidth="1"/>
    <col min="8447" max="8447" width="25.28515625" style="91" customWidth="1"/>
    <col min="8448" max="8448" width="9.5703125" style="91" customWidth="1"/>
    <col min="8449" max="8449" width="13.42578125" style="91" customWidth="1"/>
    <col min="8450" max="8450" width="9.85546875" style="91" customWidth="1"/>
    <col min="8451" max="8451" width="13.42578125" style="91" customWidth="1"/>
    <col min="8452" max="8452" width="2.7109375" style="91" customWidth="1"/>
    <col min="8453" max="8453" width="13.42578125" style="91" customWidth="1"/>
    <col min="8454" max="8700" width="8.85546875" style="91" customWidth="1"/>
    <col min="8701" max="8701" width="8.28515625" style="91" customWidth="1"/>
    <col min="8702" max="8702" width="13.5703125" style="91" customWidth="1"/>
    <col min="8703" max="8703" width="25.28515625" style="91" customWidth="1"/>
    <col min="8704" max="8704" width="9.5703125" style="91" customWidth="1"/>
    <col min="8705" max="8705" width="13.42578125" style="91" customWidth="1"/>
    <col min="8706" max="8706" width="9.85546875" style="91" customWidth="1"/>
    <col min="8707" max="8707" width="13.42578125" style="91" customWidth="1"/>
    <col min="8708" max="8708" width="2.7109375" style="91" customWidth="1"/>
    <col min="8709" max="8709" width="13.42578125" style="91" customWidth="1"/>
    <col min="8710" max="8956" width="8.85546875" style="91" customWidth="1"/>
    <col min="8957" max="8957" width="8.28515625" style="91" customWidth="1"/>
    <col min="8958" max="8958" width="13.5703125" style="91" customWidth="1"/>
    <col min="8959" max="8959" width="25.28515625" style="91" customWidth="1"/>
    <col min="8960" max="8960" width="9.5703125" style="91" customWidth="1"/>
    <col min="8961" max="8961" width="13.42578125" style="91" customWidth="1"/>
    <col min="8962" max="8962" width="9.85546875" style="91" customWidth="1"/>
    <col min="8963" max="8963" width="13.42578125" style="91" customWidth="1"/>
    <col min="8964" max="8964" width="2.7109375" style="91" customWidth="1"/>
    <col min="8965" max="8965" width="13.42578125" style="91" customWidth="1"/>
    <col min="8966" max="9212" width="8.85546875" style="91" customWidth="1"/>
    <col min="9213" max="9213" width="8.28515625" style="91" customWidth="1"/>
    <col min="9214" max="9214" width="13.5703125" style="91" customWidth="1"/>
    <col min="9215" max="9215" width="25.28515625" style="91" customWidth="1"/>
    <col min="9216" max="9216" width="9.5703125" style="91" customWidth="1"/>
    <col min="9217" max="9217" width="13.42578125" style="91" customWidth="1"/>
    <col min="9218" max="9218" width="9.85546875" style="91" customWidth="1"/>
    <col min="9219" max="9219" width="13.42578125" style="91" customWidth="1"/>
    <col min="9220" max="9220" width="2.7109375" style="91" customWidth="1"/>
    <col min="9221" max="9221" width="13.42578125" style="91" customWidth="1"/>
    <col min="9222" max="9468" width="8.85546875" style="91" customWidth="1"/>
    <col min="9469" max="9469" width="8.28515625" style="91" customWidth="1"/>
    <col min="9470" max="9470" width="13.5703125" style="91" customWidth="1"/>
    <col min="9471" max="9471" width="25.28515625" style="91" customWidth="1"/>
    <col min="9472" max="9472" width="9.5703125" style="91" customWidth="1"/>
    <col min="9473" max="9473" width="13.42578125" style="91" customWidth="1"/>
    <col min="9474" max="9474" width="9.85546875" style="91" customWidth="1"/>
    <col min="9475" max="9475" width="13.42578125" style="91" customWidth="1"/>
    <col min="9476" max="9476" width="2.7109375" style="91" customWidth="1"/>
    <col min="9477" max="9477" width="13.42578125" style="91" customWidth="1"/>
    <col min="9478" max="9724" width="8.85546875" style="91" customWidth="1"/>
    <col min="9725" max="9725" width="8.28515625" style="91" customWidth="1"/>
    <col min="9726" max="9726" width="13.5703125" style="91" customWidth="1"/>
    <col min="9727" max="9727" width="25.28515625" style="91" customWidth="1"/>
    <col min="9728" max="9728" width="9.5703125" style="91" customWidth="1"/>
    <col min="9729" max="9729" width="13.42578125" style="91" customWidth="1"/>
    <col min="9730" max="9730" width="9.85546875" style="91" customWidth="1"/>
    <col min="9731" max="9731" width="13.42578125" style="91" customWidth="1"/>
    <col min="9732" max="9732" width="2.7109375" style="91" customWidth="1"/>
    <col min="9733" max="9733" width="13.42578125" style="91" customWidth="1"/>
    <col min="9734" max="9980" width="8.85546875" style="91" customWidth="1"/>
    <col min="9981" max="9981" width="8.28515625" style="91" customWidth="1"/>
    <col min="9982" max="9982" width="13.5703125" style="91" customWidth="1"/>
    <col min="9983" max="9983" width="25.28515625" style="91" customWidth="1"/>
    <col min="9984" max="9984" width="9.5703125" style="91" customWidth="1"/>
    <col min="9985" max="9985" width="13.42578125" style="91" customWidth="1"/>
    <col min="9986" max="9986" width="9.85546875" style="91" customWidth="1"/>
    <col min="9987" max="9987" width="13.42578125" style="91" customWidth="1"/>
    <col min="9988" max="9988" width="2.7109375" style="91" customWidth="1"/>
    <col min="9989" max="9989" width="13.42578125" style="91" customWidth="1"/>
    <col min="9990" max="10236" width="8.85546875" style="91" customWidth="1"/>
    <col min="10237" max="10237" width="8.28515625" style="91" customWidth="1"/>
    <col min="10238" max="10238" width="13.5703125" style="91" customWidth="1"/>
    <col min="10239" max="10239" width="25.28515625" style="91" customWidth="1"/>
    <col min="10240" max="10240" width="9.5703125" style="91" customWidth="1"/>
    <col min="10241" max="10241" width="13.42578125" style="91" customWidth="1"/>
    <col min="10242" max="10242" width="9.85546875" style="91" customWidth="1"/>
    <col min="10243" max="10243" width="13.42578125" style="91" customWidth="1"/>
    <col min="10244" max="10244" width="2.7109375" style="91" customWidth="1"/>
    <col min="10245" max="10245" width="13.42578125" style="91" customWidth="1"/>
    <col min="10246" max="10492" width="8.85546875" style="91" customWidth="1"/>
    <col min="10493" max="10493" width="8.28515625" style="91" customWidth="1"/>
    <col min="10494" max="10494" width="13.5703125" style="91" customWidth="1"/>
    <col min="10495" max="10495" width="25.28515625" style="91" customWidth="1"/>
    <col min="10496" max="10496" width="9.5703125" style="91" customWidth="1"/>
    <col min="10497" max="10497" width="13.42578125" style="91" customWidth="1"/>
    <col min="10498" max="10498" width="9.85546875" style="91" customWidth="1"/>
    <col min="10499" max="10499" width="13.42578125" style="91" customWidth="1"/>
    <col min="10500" max="10500" width="2.7109375" style="91" customWidth="1"/>
    <col min="10501" max="10501" width="13.42578125" style="91" customWidth="1"/>
    <col min="10502" max="10748" width="8.85546875" style="91" customWidth="1"/>
    <col min="10749" max="10749" width="8.28515625" style="91" customWidth="1"/>
    <col min="10750" max="10750" width="13.5703125" style="91" customWidth="1"/>
    <col min="10751" max="10751" width="25.28515625" style="91" customWidth="1"/>
    <col min="10752" max="10752" width="9.5703125" style="91" customWidth="1"/>
    <col min="10753" max="10753" width="13.42578125" style="91" customWidth="1"/>
    <col min="10754" max="10754" width="9.85546875" style="91" customWidth="1"/>
    <col min="10755" max="10755" width="13.42578125" style="91" customWidth="1"/>
    <col min="10756" max="10756" width="2.7109375" style="91" customWidth="1"/>
    <col min="10757" max="10757" width="13.42578125" style="91" customWidth="1"/>
    <col min="10758" max="11004" width="8.85546875" style="91" customWidth="1"/>
    <col min="11005" max="11005" width="8.28515625" style="91" customWidth="1"/>
    <col min="11006" max="11006" width="13.5703125" style="91" customWidth="1"/>
    <col min="11007" max="11007" width="25.28515625" style="91" customWidth="1"/>
    <col min="11008" max="11008" width="9.5703125" style="91" customWidth="1"/>
    <col min="11009" max="11009" width="13.42578125" style="91" customWidth="1"/>
    <col min="11010" max="11010" width="9.85546875" style="91" customWidth="1"/>
    <col min="11011" max="11011" width="13.42578125" style="91" customWidth="1"/>
    <col min="11012" max="11012" width="2.7109375" style="91" customWidth="1"/>
    <col min="11013" max="11013" width="13.42578125" style="91" customWidth="1"/>
    <col min="11014" max="11260" width="8.85546875" style="91" customWidth="1"/>
    <col min="11261" max="11261" width="8.28515625" style="91" customWidth="1"/>
    <col min="11262" max="11262" width="13.5703125" style="91" customWidth="1"/>
    <col min="11263" max="11263" width="25.28515625" style="91" customWidth="1"/>
    <col min="11264" max="11264" width="9.5703125" style="91" customWidth="1"/>
    <col min="11265" max="11265" width="13.42578125" style="91" customWidth="1"/>
    <col min="11266" max="11266" width="9.85546875" style="91" customWidth="1"/>
    <col min="11267" max="11267" width="13.42578125" style="91" customWidth="1"/>
    <col min="11268" max="11268" width="2.7109375" style="91" customWidth="1"/>
    <col min="11269" max="11269" width="13.42578125" style="91" customWidth="1"/>
    <col min="11270" max="11516" width="8.85546875" style="91" customWidth="1"/>
    <col min="11517" max="11517" width="8.28515625" style="91" customWidth="1"/>
    <col min="11518" max="11518" width="13.5703125" style="91" customWidth="1"/>
    <col min="11519" max="11519" width="25.28515625" style="91" customWidth="1"/>
    <col min="11520" max="11520" width="9.5703125" style="91" customWidth="1"/>
    <col min="11521" max="11521" width="13.42578125" style="91" customWidth="1"/>
    <col min="11522" max="11522" width="9.85546875" style="91" customWidth="1"/>
    <col min="11523" max="11523" width="13.42578125" style="91" customWidth="1"/>
    <col min="11524" max="11524" width="2.7109375" style="91" customWidth="1"/>
    <col min="11525" max="11525" width="13.42578125" style="91" customWidth="1"/>
    <col min="11526" max="11772" width="8.85546875" style="91" customWidth="1"/>
    <col min="11773" max="11773" width="8.28515625" style="91" customWidth="1"/>
    <col min="11774" max="11774" width="13.5703125" style="91" customWidth="1"/>
    <col min="11775" max="11775" width="25.28515625" style="91" customWidth="1"/>
    <col min="11776" max="11776" width="9.5703125" style="91" customWidth="1"/>
    <col min="11777" max="11777" width="13.42578125" style="91" customWidth="1"/>
    <col min="11778" max="11778" width="9.85546875" style="91" customWidth="1"/>
    <col min="11779" max="11779" width="13.42578125" style="91" customWidth="1"/>
    <col min="11780" max="11780" width="2.7109375" style="91" customWidth="1"/>
    <col min="11781" max="11781" width="13.42578125" style="91" customWidth="1"/>
    <col min="11782" max="12028" width="8.85546875" style="91" customWidth="1"/>
    <col min="12029" max="12029" width="8.28515625" style="91" customWidth="1"/>
    <col min="12030" max="12030" width="13.5703125" style="91" customWidth="1"/>
    <col min="12031" max="12031" width="25.28515625" style="91" customWidth="1"/>
    <col min="12032" max="12032" width="9.5703125" style="91" customWidth="1"/>
    <col min="12033" max="12033" width="13.42578125" style="91" customWidth="1"/>
    <col min="12034" max="12034" width="9.85546875" style="91" customWidth="1"/>
    <col min="12035" max="12035" width="13.42578125" style="91" customWidth="1"/>
    <col min="12036" max="12036" width="2.7109375" style="91" customWidth="1"/>
    <col min="12037" max="12037" width="13.42578125" style="91" customWidth="1"/>
    <col min="12038" max="12284" width="8.85546875" style="91" customWidth="1"/>
    <col min="12285" max="12285" width="8.28515625" style="91" customWidth="1"/>
    <col min="12286" max="12286" width="13.5703125" style="91" customWidth="1"/>
    <col min="12287" max="12287" width="25.28515625" style="91" customWidth="1"/>
    <col min="12288" max="12288" width="9.5703125" style="91" customWidth="1"/>
    <col min="12289" max="12289" width="13.42578125" style="91" customWidth="1"/>
    <col min="12290" max="12290" width="9.85546875" style="91" customWidth="1"/>
    <col min="12291" max="12291" width="13.42578125" style="91" customWidth="1"/>
    <col min="12292" max="12292" width="2.7109375" style="91" customWidth="1"/>
    <col min="12293" max="12293" width="13.42578125" style="91" customWidth="1"/>
    <col min="12294" max="12540" width="8.85546875" style="91" customWidth="1"/>
    <col min="12541" max="12541" width="8.28515625" style="91" customWidth="1"/>
    <col min="12542" max="12542" width="13.5703125" style="91" customWidth="1"/>
    <col min="12543" max="12543" width="25.28515625" style="91" customWidth="1"/>
    <col min="12544" max="12544" width="9.5703125" style="91" customWidth="1"/>
    <col min="12545" max="12545" width="13.42578125" style="91" customWidth="1"/>
    <col min="12546" max="12546" width="9.85546875" style="91" customWidth="1"/>
    <col min="12547" max="12547" width="13.42578125" style="91" customWidth="1"/>
    <col min="12548" max="12548" width="2.7109375" style="91" customWidth="1"/>
    <col min="12549" max="12549" width="13.42578125" style="91" customWidth="1"/>
    <col min="12550" max="12796" width="8.85546875" style="91" customWidth="1"/>
    <col min="12797" max="12797" width="8.28515625" style="91" customWidth="1"/>
    <col min="12798" max="12798" width="13.5703125" style="91" customWidth="1"/>
    <col min="12799" max="12799" width="25.28515625" style="91" customWidth="1"/>
    <col min="12800" max="12800" width="9.5703125" style="91" customWidth="1"/>
    <col min="12801" max="12801" width="13.42578125" style="91" customWidth="1"/>
    <col min="12802" max="12802" width="9.85546875" style="91" customWidth="1"/>
    <col min="12803" max="12803" width="13.42578125" style="91" customWidth="1"/>
    <col min="12804" max="12804" width="2.7109375" style="91" customWidth="1"/>
    <col min="12805" max="12805" width="13.42578125" style="91" customWidth="1"/>
    <col min="12806" max="13052" width="8.85546875" style="91" customWidth="1"/>
    <col min="13053" max="13053" width="8.28515625" style="91" customWidth="1"/>
    <col min="13054" max="13054" width="13.5703125" style="91" customWidth="1"/>
    <col min="13055" max="13055" width="25.28515625" style="91" customWidth="1"/>
    <col min="13056" max="13056" width="9.5703125" style="91" customWidth="1"/>
    <col min="13057" max="13057" width="13.42578125" style="91" customWidth="1"/>
    <col min="13058" max="13058" width="9.85546875" style="91" customWidth="1"/>
    <col min="13059" max="13059" width="13.42578125" style="91" customWidth="1"/>
    <col min="13060" max="13060" width="2.7109375" style="91" customWidth="1"/>
    <col min="13061" max="13061" width="13.42578125" style="91" customWidth="1"/>
    <col min="13062" max="13308" width="8.85546875" style="91" customWidth="1"/>
    <col min="13309" max="13309" width="8.28515625" style="91" customWidth="1"/>
    <col min="13310" max="13310" width="13.5703125" style="91" customWidth="1"/>
    <col min="13311" max="13311" width="25.28515625" style="91" customWidth="1"/>
    <col min="13312" max="13312" width="9.5703125" style="91" customWidth="1"/>
    <col min="13313" max="13313" width="13.42578125" style="91" customWidth="1"/>
    <col min="13314" max="13314" width="9.85546875" style="91" customWidth="1"/>
    <col min="13315" max="13315" width="13.42578125" style="91" customWidth="1"/>
    <col min="13316" max="13316" width="2.7109375" style="91" customWidth="1"/>
    <col min="13317" max="13317" width="13.42578125" style="91" customWidth="1"/>
    <col min="13318" max="13564" width="8.85546875" style="91" customWidth="1"/>
    <col min="13565" max="13565" width="8.28515625" style="91" customWidth="1"/>
    <col min="13566" max="13566" width="13.5703125" style="91" customWidth="1"/>
    <col min="13567" max="13567" width="25.28515625" style="91" customWidth="1"/>
    <col min="13568" max="13568" width="9.5703125" style="91" customWidth="1"/>
    <col min="13569" max="13569" width="13.42578125" style="91" customWidth="1"/>
    <col min="13570" max="13570" width="9.85546875" style="91" customWidth="1"/>
    <col min="13571" max="13571" width="13.42578125" style="91" customWidth="1"/>
    <col min="13572" max="13572" width="2.7109375" style="91" customWidth="1"/>
    <col min="13573" max="13573" width="13.42578125" style="91" customWidth="1"/>
    <col min="13574" max="13820" width="8.85546875" style="91" customWidth="1"/>
    <col min="13821" max="13821" width="8.28515625" style="91" customWidth="1"/>
    <col min="13822" max="13822" width="13.5703125" style="91" customWidth="1"/>
    <col min="13823" max="13823" width="25.28515625" style="91" customWidth="1"/>
    <col min="13824" max="13824" width="9.5703125" style="91" customWidth="1"/>
    <col min="13825" max="13825" width="13.42578125" style="91" customWidth="1"/>
    <col min="13826" max="13826" width="9.85546875" style="91" customWidth="1"/>
    <col min="13827" max="13827" width="13.42578125" style="91" customWidth="1"/>
    <col min="13828" max="13828" width="2.7109375" style="91" customWidth="1"/>
    <col min="13829" max="13829" width="13.42578125" style="91" customWidth="1"/>
    <col min="13830" max="14076" width="8.85546875" style="91" customWidth="1"/>
    <col min="14077" max="14077" width="8.28515625" style="91" customWidth="1"/>
    <col min="14078" max="14078" width="13.5703125" style="91" customWidth="1"/>
    <col min="14079" max="14079" width="25.28515625" style="91" customWidth="1"/>
    <col min="14080" max="14080" width="9.5703125" style="91" customWidth="1"/>
    <col min="14081" max="14081" width="13.42578125" style="91" customWidth="1"/>
    <col min="14082" max="14082" width="9.85546875" style="91" customWidth="1"/>
    <col min="14083" max="14083" width="13.42578125" style="91" customWidth="1"/>
    <col min="14084" max="14084" width="2.7109375" style="91" customWidth="1"/>
    <col min="14085" max="14085" width="13.42578125" style="91" customWidth="1"/>
    <col min="14086" max="14332" width="8.85546875" style="91" customWidth="1"/>
    <col min="14333" max="14333" width="8.28515625" style="91" customWidth="1"/>
    <col min="14334" max="14334" width="13.5703125" style="91" customWidth="1"/>
    <col min="14335" max="14335" width="25.28515625" style="91" customWidth="1"/>
    <col min="14336" max="14336" width="9.5703125" style="91" customWidth="1"/>
    <col min="14337" max="14337" width="13.42578125" style="91" customWidth="1"/>
    <col min="14338" max="14338" width="9.85546875" style="91" customWidth="1"/>
    <col min="14339" max="14339" width="13.42578125" style="91" customWidth="1"/>
    <col min="14340" max="14340" width="2.7109375" style="91" customWidth="1"/>
    <col min="14341" max="14341" width="13.42578125" style="91" customWidth="1"/>
    <col min="14342" max="14588" width="8.85546875" style="91" customWidth="1"/>
    <col min="14589" max="14589" width="8.28515625" style="91" customWidth="1"/>
    <col min="14590" max="14590" width="13.5703125" style="91" customWidth="1"/>
    <col min="14591" max="14591" width="25.28515625" style="91" customWidth="1"/>
    <col min="14592" max="14592" width="9.5703125" style="91" customWidth="1"/>
    <col min="14593" max="14593" width="13.42578125" style="91" customWidth="1"/>
    <col min="14594" max="14594" width="9.85546875" style="91" customWidth="1"/>
    <col min="14595" max="14595" width="13.42578125" style="91" customWidth="1"/>
    <col min="14596" max="14596" width="2.7109375" style="91" customWidth="1"/>
    <col min="14597" max="14597" width="13.42578125" style="91" customWidth="1"/>
    <col min="14598" max="14844" width="8.85546875" style="91" customWidth="1"/>
    <col min="14845" max="14845" width="8.28515625" style="91" customWidth="1"/>
    <col min="14846" max="14846" width="13.5703125" style="91" customWidth="1"/>
    <col min="14847" max="14847" width="25.28515625" style="91" customWidth="1"/>
    <col min="14848" max="14848" width="9.5703125" style="91" customWidth="1"/>
    <col min="14849" max="14849" width="13.42578125" style="91" customWidth="1"/>
    <col min="14850" max="14850" width="9.85546875" style="91" customWidth="1"/>
    <col min="14851" max="14851" width="13.42578125" style="91" customWidth="1"/>
    <col min="14852" max="14852" width="2.7109375" style="91" customWidth="1"/>
    <col min="14853" max="14853" width="13.42578125" style="91" customWidth="1"/>
    <col min="14854" max="15100" width="8.85546875" style="91" customWidth="1"/>
    <col min="15101" max="15101" width="8.28515625" style="91" customWidth="1"/>
    <col min="15102" max="15102" width="13.5703125" style="91" customWidth="1"/>
    <col min="15103" max="15103" width="25.28515625" style="91" customWidth="1"/>
    <col min="15104" max="15104" width="9.5703125" style="91" customWidth="1"/>
    <col min="15105" max="15105" width="13.42578125" style="91" customWidth="1"/>
    <col min="15106" max="15106" width="9.85546875" style="91" customWidth="1"/>
    <col min="15107" max="15107" width="13.42578125" style="91" customWidth="1"/>
    <col min="15108" max="15108" width="2.7109375" style="91" customWidth="1"/>
    <col min="15109" max="15109" width="13.42578125" style="91" customWidth="1"/>
    <col min="15110" max="15356" width="8.85546875" style="91" customWidth="1"/>
    <col min="15357" max="15357" width="8.28515625" style="91" customWidth="1"/>
    <col min="15358" max="15358" width="13.5703125" style="91" customWidth="1"/>
    <col min="15359" max="15359" width="25.28515625" style="91" customWidth="1"/>
    <col min="15360" max="15360" width="9.5703125" style="91" customWidth="1"/>
    <col min="15361" max="15361" width="13.42578125" style="91" customWidth="1"/>
    <col min="15362" max="15362" width="9.85546875" style="91" customWidth="1"/>
    <col min="15363" max="15363" width="13.42578125" style="91" customWidth="1"/>
    <col min="15364" max="15364" width="2.7109375" style="91" customWidth="1"/>
    <col min="15365" max="15365" width="13.42578125" style="91" customWidth="1"/>
    <col min="15366" max="15612" width="8.85546875" style="91" customWidth="1"/>
    <col min="15613" max="15613" width="8.28515625" style="91" customWidth="1"/>
    <col min="15614" max="15614" width="13.5703125" style="91" customWidth="1"/>
    <col min="15615" max="15615" width="25.28515625" style="91" customWidth="1"/>
    <col min="15616" max="15616" width="9.5703125" style="91" customWidth="1"/>
    <col min="15617" max="15617" width="13.42578125" style="91" customWidth="1"/>
    <col min="15618" max="15618" width="9.85546875" style="91" customWidth="1"/>
    <col min="15619" max="15619" width="13.42578125" style="91" customWidth="1"/>
    <col min="15620" max="15620" width="2.7109375" style="91" customWidth="1"/>
    <col min="15621" max="15621" width="13.42578125" style="91" customWidth="1"/>
    <col min="15622" max="15868" width="8.85546875" style="91" customWidth="1"/>
    <col min="15869" max="15869" width="8.28515625" style="91" customWidth="1"/>
    <col min="15870" max="15870" width="13.5703125" style="91" customWidth="1"/>
    <col min="15871" max="15871" width="25.28515625" style="91" customWidth="1"/>
    <col min="15872" max="15872" width="9.5703125" style="91" customWidth="1"/>
    <col min="15873" max="15873" width="13.42578125" style="91" customWidth="1"/>
    <col min="15874" max="15874" width="9.85546875" style="91" customWidth="1"/>
    <col min="15875" max="15875" width="13.42578125" style="91" customWidth="1"/>
    <col min="15876" max="15876" width="2.7109375" style="91" customWidth="1"/>
    <col min="15877" max="15877" width="13.42578125" style="91" customWidth="1"/>
    <col min="15878" max="16124" width="8.85546875" style="91" customWidth="1"/>
    <col min="16125" max="16125" width="8.28515625" style="91" customWidth="1"/>
    <col min="16126" max="16126" width="13.5703125" style="91" customWidth="1"/>
    <col min="16127" max="16127" width="25.28515625" style="91" customWidth="1"/>
    <col min="16128" max="16128" width="9.5703125" style="91" customWidth="1"/>
    <col min="16129" max="16129" width="13.42578125" style="91" customWidth="1"/>
    <col min="16130" max="16130" width="9.85546875" style="91" customWidth="1"/>
    <col min="16131" max="16131" width="13.42578125" style="91" customWidth="1"/>
    <col min="16132" max="16132" width="2.7109375" style="91" customWidth="1"/>
    <col min="16133" max="16133" width="13.42578125" style="91" customWidth="1"/>
    <col min="16134" max="16384" width="8.85546875" style="91" customWidth="1"/>
  </cols>
  <sheetData>
    <row r="1" spans="1:9" customFormat="1" ht="15">
      <c r="A1" s="179" t="s">
        <v>122</v>
      </c>
      <c r="B1" s="179"/>
      <c r="C1" s="179"/>
      <c r="D1" s="179"/>
      <c r="E1" s="179"/>
      <c r="F1" s="179"/>
    </row>
    <row r="2" spans="1:9" customFormat="1" ht="15">
      <c r="A2" s="179" t="s">
        <v>209</v>
      </c>
      <c r="B2" s="179"/>
      <c r="C2" s="179"/>
      <c r="D2" s="179"/>
      <c r="E2" s="179"/>
      <c r="F2" s="179"/>
    </row>
    <row r="3" spans="1:9" customFormat="1" ht="15">
      <c r="A3" s="86"/>
      <c r="B3" s="86"/>
      <c r="C3" s="86"/>
      <c r="D3" s="86" t="s">
        <v>123</v>
      </c>
      <c r="E3" s="86"/>
      <c r="F3" s="86"/>
    </row>
    <row r="4" spans="1:9" ht="15">
      <c r="A4" s="178" t="s">
        <v>181</v>
      </c>
      <c r="B4" s="178"/>
      <c r="C4" s="178"/>
      <c r="D4" s="178"/>
      <c r="E4" s="178"/>
      <c r="F4" s="178"/>
      <c r="G4"/>
      <c r="H4"/>
    </row>
    <row r="5" spans="1:9" ht="15.75">
      <c r="A5" s="87" t="s">
        <v>124</v>
      </c>
      <c r="B5" s="87" t="s">
        <v>66</v>
      </c>
      <c r="C5" s="87" t="s">
        <v>125</v>
      </c>
      <c r="D5" s="87" t="s">
        <v>126</v>
      </c>
      <c r="E5" s="87" t="s">
        <v>127</v>
      </c>
      <c r="F5" s="87" t="s">
        <v>128</v>
      </c>
      <c r="G5"/>
      <c r="H5"/>
    </row>
    <row r="6" spans="1:9">
      <c r="A6" s="169" t="s">
        <v>129</v>
      </c>
      <c r="B6" s="169" t="s">
        <v>162</v>
      </c>
      <c r="C6" s="88" t="s">
        <v>134</v>
      </c>
      <c r="D6" s="89">
        <v>5</v>
      </c>
      <c r="E6" s="89"/>
      <c r="F6" s="90">
        <v>49.59</v>
      </c>
    </row>
    <row r="7" spans="1:9" ht="15">
      <c r="A7" s="168"/>
      <c r="B7" s="168"/>
      <c r="C7" s="97" t="s">
        <v>163</v>
      </c>
      <c r="D7" s="93" t="s">
        <v>130</v>
      </c>
      <c r="E7" s="107" t="s">
        <v>130</v>
      </c>
      <c r="F7" s="94">
        <f>F6</f>
        <v>49.59</v>
      </c>
    </row>
    <row r="8" spans="1:9" ht="15">
      <c r="A8" s="175" t="s">
        <v>129</v>
      </c>
      <c r="B8" s="176"/>
      <c r="C8" s="176"/>
      <c r="D8" s="176"/>
      <c r="E8" s="177"/>
      <c r="F8" s="99">
        <f>F7</f>
        <v>49.59</v>
      </c>
    </row>
    <row r="9" spans="1:9" ht="15">
      <c r="A9" s="175" t="s">
        <v>136</v>
      </c>
      <c r="B9" s="176"/>
      <c r="C9" s="176"/>
      <c r="D9" s="176"/>
      <c r="E9" s="177"/>
      <c r="F9" s="99">
        <f>F8</f>
        <v>49.59</v>
      </c>
      <c r="I9" s="100"/>
    </row>
    <row r="10" spans="1:9" customFormat="1" ht="15">
      <c r="A10" s="166" t="s">
        <v>137</v>
      </c>
      <c r="B10" s="166"/>
      <c r="C10" s="166"/>
      <c r="D10" s="166"/>
      <c r="E10" s="166"/>
      <c r="F10" s="99">
        <v>0</v>
      </c>
    </row>
    <row r="11" spans="1:9" customFormat="1" ht="15">
      <c r="A11" s="166" t="s">
        <v>138</v>
      </c>
      <c r="B11" s="166"/>
      <c r="C11" s="166"/>
      <c r="D11" s="166"/>
      <c r="E11" s="166"/>
      <c r="F11" s="101">
        <v>0</v>
      </c>
    </row>
    <row r="12" spans="1:9" customFormat="1" ht="15">
      <c r="A12" s="166" t="s">
        <v>139</v>
      </c>
      <c r="B12" s="166"/>
      <c r="C12" s="166"/>
      <c r="D12" s="166"/>
      <c r="E12" s="166"/>
      <c r="F12" s="101">
        <v>0</v>
      </c>
    </row>
    <row r="13" spans="1:9" customFormat="1" ht="15">
      <c r="A13" s="166" t="s">
        <v>140</v>
      </c>
      <c r="B13" s="166"/>
      <c r="C13" s="166"/>
      <c r="D13" s="166"/>
      <c r="E13" s="166"/>
      <c r="F13" s="99">
        <f>SUM(F10:F12)</f>
        <v>0</v>
      </c>
    </row>
    <row r="14" spans="1:9" customFormat="1" ht="15">
      <c r="A14" s="166" t="s">
        <v>141</v>
      </c>
      <c r="B14" s="166"/>
      <c r="C14" s="166"/>
      <c r="D14" s="166"/>
      <c r="E14" s="166"/>
      <c r="F14" s="99">
        <f>F13+F9</f>
        <v>49.59</v>
      </c>
      <c r="I14" s="100"/>
    </row>
    <row r="15" spans="1:9" ht="15">
      <c r="A15" s="166" t="s">
        <v>142</v>
      </c>
      <c r="B15" s="166"/>
      <c r="C15" s="166"/>
      <c r="D15" s="166"/>
      <c r="E15" s="166"/>
      <c r="F15" s="101">
        <v>0</v>
      </c>
      <c r="G15"/>
    </row>
    <row r="16" spans="1:9" ht="15">
      <c r="A16" s="166" t="s">
        <v>143</v>
      </c>
      <c r="B16" s="166"/>
      <c r="C16" s="166"/>
      <c r="D16" s="166"/>
      <c r="E16" s="166"/>
      <c r="F16" s="101">
        <v>0</v>
      </c>
      <c r="G16"/>
    </row>
    <row r="17" spans="1:6">
      <c r="A17" s="169" t="s">
        <v>159</v>
      </c>
      <c r="B17" s="169" t="s">
        <v>146</v>
      </c>
      <c r="C17" s="88" t="s">
        <v>151</v>
      </c>
      <c r="D17" s="89">
        <v>1</v>
      </c>
      <c r="E17" s="89"/>
      <c r="F17" s="90">
        <v>10</v>
      </c>
    </row>
    <row r="18" spans="1:6" ht="15">
      <c r="A18" s="168"/>
      <c r="B18" s="168"/>
      <c r="C18" s="97" t="s">
        <v>182</v>
      </c>
      <c r="D18" s="93" t="s">
        <v>130</v>
      </c>
      <c r="E18" s="107" t="s">
        <v>130</v>
      </c>
      <c r="F18" s="94">
        <f>F17</f>
        <v>10</v>
      </c>
    </row>
    <row r="19" spans="1:6">
      <c r="A19" s="169" t="s">
        <v>159</v>
      </c>
      <c r="B19" s="169" t="s">
        <v>177</v>
      </c>
      <c r="C19" s="88" t="s">
        <v>183</v>
      </c>
      <c r="D19" s="89">
        <v>1</v>
      </c>
      <c r="E19" s="89"/>
      <c r="F19" s="90">
        <v>6.5</v>
      </c>
    </row>
    <row r="20" spans="1:6" ht="15">
      <c r="A20" s="168"/>
      <c r="B20" s="168"/>
      <c r="C20" s="97" t="s">
        <v>184</v>
      </c>
      <c r="D20" s="93" t="s">
        <v>130</v>
      </c>
      <c r="E20" s="107" t="s">
        <v>130</v>
      </c>
      <c r="F20" s="94">
        <f>F19</f>
        <v>6.5</v>
      </c>
    </row>
    <row r="21" spans="1:6">
      <c r="A21" s="174" t="s">
        <v>159</v>
      </c>
      <c r="B21" s="174" t="s">
        <v>185</v>
      </c>
      <c r="C21" s="88" t="s">
        <v>186</v>
      </c>
      <c r="D21" s="89">
        <v>6</v>
      </c>
      <c r="E21" s="89"/>
      <c r="F21" s="90">
        <v>300</v>
      </c>
    </row>
    <row r="22" spans="1:6" ht="30">
      <c r="A22" s="174"/>
      <c r="B22" s="174"/>
      <c r="C22" s="97" t="s">
        <v>187</v>
      </c>
      <c r="D22" s="93" t="s">
        <v>130</v>
      </c>
      <c r="E22" s="107" t="s">
        <v>130</v>
      </c>
      <c r="F22" s="94">
        <f>F21</f>
        <v>300</v>
      </c>
    </row>
    <row r="23" spans="1:6">
      <c r="A23" s="169" t="s">
        <v>144</v>
      </c>
      <c r="B23" s="169" t="s">
        <v>148</v>
      </c>
      <c r="C23" s="88" t="s">
        <v>149</v>
      </c>
      <c r="D23" s="89">
        <v>1</v>
      </c>
      <c r="E23" s="89"/>
      <c r="F23" s="90">
        <v>131.76</v>
      </c>
    </row>
    <row r="24" spans="1:6">
      <c r="A24" s="172"/>
      <c r="B24" s="172"/>
      <c r="C24" s="88" t="s">
        <v>150</v>
      </c>
      <c r="D24" s="89">
        <v>1</v>
      </c>
      <c r="E24" s="89"/>
      <c r="F24" s="90">
        <v>400.32</v>
      </c>
    </row>
    <row r="25" spans="1:6">
      <c r="A25" s="172"/>
      <c r="B25" s="172"/>
      <c r="C25" s="88" t="s">
        <v>157</v>
      </c>
      <c r="D25" s="89">
        <v>1</v>
      </c>
      <c r="E25" s="89"/>
      <c r="F25" s="90">
        <v>169.2</v>
      </c>
    </row>
    <row r="26" spans="1:6">
      <c r="A26" s="172"/>
      <c r="B26" s="172"/>
      <c r="C26" s="88" t="s">
        <v>131</v>
      </c>
      <c r="D26" s="89">
        <v>2</v>
      </c>
      <c r="E26" s="89"/>
      <c r="F26" s="90">
        <v>56</v>
      </c>
    </row>
    <row r="27" spans="1:6" ht="15">
      <c r="A27" s="168"/>
      <c r="B27" s="168"/>
      <c r="C27" s="97" t="s">
        <v>166</v>
      </c>
      <c r="D27" s="93" t="s">
        <v>130</v>
      </c>
      <c r="E27" s="107" t="s">
        <v>130</v>
      </c>
      <c r="F27" s="94">
        <f>SUM(F23:F26)</f>
        <v>757.28</v>
      </c>
    </row>
    <row r="28" spans="1:6">
      <c r="A28" s="169" t="s">
        <v>159</v>
      </c>
      <c r="B28" s="169" t="s">
        <v>44</v>
      </c>
      <c r="C28" s="88" t="s">
        <v>145</v>
      </c>
      <c r="D28" s="89">
        <v>5</v>
      </c>
      <c r="E28" s="89"/>
      <c r="F28" s="90">
        <v>78.5</v>
      </c>
    </row>
    <row r="29" spans="1:6" ht="30">
      <c r="A29" s="168"/>
      <c r="B29" s="168"/>
      <c r="C29" s="97" t="s">
        <v>160</v>
      </c>
      <c r="D29" s="93" t="s">
        <v>130</v>
      </c>
      <c r="E29" s="107" t="s">
        <v>130</v>
      </c>
      <c r="F29" s="94">
        <f>F28</f>
        <v>78.5</v>
      </c>
    </row>
    <row r="30" spans="1:6">
      <c r="A30" s="169" t="s">
        <v>159</v>
      </c>
      <c r="B30" s="169" t="s">
        <v>164</v>
      </c>
      <c r="C30" s="88" t="s">
        <v>152</v>
      </c>
      <c r="D30" s="89">
        <v>1</v>
      </c>
      <c r="E30" s="89"/>
      <c r="F30" s="90">
        <v>15</v>
      </c>
    </row>
    <row r="31" spans="1:6">
      <c r="A31" s="172"/>
      <c r="B31" s="172"/>
      <c r="C31" s="88" t="s">
        <v>147</v>
      </c>
      <c r="D31" s="89">
        <v>1</v>
      </c>
      <c r="E31" s="89"/>
      <c r="F31" s="90">
        <v>350</v>
      </c>
    </row>
    <row r="32" spans="1:6" ht="15">
      <c r="A32" s="168"/>
      <c r="B32" s="168"/>
      <c r="C32" s="97" t="s">
        <v>188</v>
      </c>
      <c r="D32" s="93" t="s">
        <v>130</v>
      </c>
      <c r="E32" s="107" t="s">
        <v>130</v>
      </c>
      <c r="F32" s="94">
        <f>SUM(F30:F31)</f>
        <v>365</v>
      </c>
    </row>
    <row r="33" spans="1:10" ht="15">
      <c r="A33" s="166" t="s">
        <v>144</v>
      </c>
      <c r="B33" s="166"/>
      <c r="C33" s="166"/>
      <c r="D33" s="166"/>
      <c r="E33" s="166"/>
      <c r="F33" s="101">
        <f>F32+F29+F27+F20+F18+F22</f>
        <v>1517.28</v>
      </c>
    </row>
    <row r="34" spans="1:10" ht="15">
      <c r="A34" s="166" t="s">
        <v>153</v>
      </c>
      <c r="B34" s="166"/>
      <c r="C34" s="166"/>
      <c r="D34" s="166"/>
      <c r="E34" s="166"/>
      <c r="F34" s="109">
        <f>F33+F15+F16</f>
        <v>1517.28</v>
      </c>
    </row>
    <row r="35" spans="1:10" ht="15">
      <c r="A35" s="166" t="s">
        <v>154</v>
      </c>
      <c r="B35" s="166"/>
      <c r="C35" s="166"/>
      <c r="D35" s="166"/>
      <c r="E35" s="166"/>
      <c r="F35" s="102">
        <f>F14+F34</f>
        <v>1566.87</v>
      </c>
      <c r="G35" s="110"/>
      <c r="H35" s="106"/>
      <c r="I35" s="111"/>
      <c r="J35" s="105"/>
    </row>
    <row r="36" spans="1:10">
      <c r="A36" s="169" t="s">
        <v>167</v>
      </c>
      <c r="B36" s="170" t="s">
        <v>42</v>
      </c>
      <c r="C36" s="88" t="s">
        <v>168</v>
      </c>
      <c r="D36" s="89">
        <v>1</v>
      </c>
      <c r="E36" s="89"/>
      <c r="F36" s="90">
        <v>35.380000000000003</v>
      </c>
    </row>
    <row r="37" spans="1:10" ht="15">
      <c r="A37" s="168"/>
      <c r="B37" s="171"/>
      <c r="C37" s="108" t="s">
        <v>169</v>
      </c>
      <c r="D37" s="93" t="s">
        <v>130</v>
      </c>
      <c r="E37" s="93" t="s">
        <v>130</v>
      </c>
      <c r="F37" s="94">
        <f>SUM(F36)</f>
        <v>35.380000000000003</v>
      </c>
    </row>
    <row r="38" spans="1:10">
      <c r="A38" s="169" t="s">
        <v>167</v>
      </c>
      <c r="B38" s="169" t="s">
        <v>44</v>
      </c>
      <c r="C38" s="88" t="s">
        <v>134</v>
      </c>
      <c r="D38" s="89">
        <v>8</v>
      </c>
      <c r="E38" s="89"/>
      <c r="F38" s="90">
        <v>125.6</v>
      </c>
    </row>
    <row r="39" spans="1:10" ht="45">
      <c r="A39" s="168"/>
      <c r="B39" s="168"/>
      <c r="C39" s="95" t="s">
        <v>135</v>
      </c>
      <c r="D39" s="93" t="s">
        <v>130</v>
      </c>
      <c r="E39" s="93" t="s">
        <v>130</v>
      </c>
      <c r="F39" s="94">
        <f>SUM(F38)</f>
        <v>125.6</v>
      </c>
    </row>
    <row r="40" spans="1:10">
      <c r="A40" s="169" t="s">
        <v>167</v>
      </c>
      <c r="B40" s="169" t="s">
        <v>43</v>
      </c>
      <c r="C40" s="88" t="s">
        <v>156</v>
      </c>
      <c r="D40" s="89">
        <v>2</v>
      </c>
      <c r="E40" s="89"/>
      <c r="F40" s="90">
        <v>152</v>
      </c>
    </row>
    <row r="41" spans="1:10" ht="15">
      <c r="A41" s="168"/>
      <c r="B41" s="168"/>
      <c r="C41" s="98" t="s">
        <v>155</v>
      </c>
      <c r="D41" s="93" t="s">
        <v>130</v>
      </c>
      <c r="E41" s="93" t="s">
        <v>130</v>
      </c>
      <c r="F41" s="94">
        <f>SUM(F40)</f>
        <v>152</v>
      </c>
    </row>
    <row r="42" spans="1:10">
      <c r="A42" s="169" t="s">
        <v>167</v>
      </c>
      <c r="B42" s="169" t="s">
        <v>189</v>
      </c>
      <c r="C42" s="88" t="s">
        <v>190</v>
      </c>
      <c r="D42" s="89">
        <v>1</v>
      </c>
      <c r="E42" s="89"/>
      <c r="F42" s="90">
        <v>310</v>
      </c>
    </row>
    <row r="43" spans="1:10">
      <c r="A43" s="172"/>
      <c r="B43" s="172"/>
      <c r="C43" s="88" t="s">
        <v>171</v>
      </c>
      <c r="D43" s="89">
        <v>1</v>
      </c>
      <c r="E43" s="89"/>
      <c r="F43" s="90">
        <v>136</v>
      </c>
    </row>
    <row r="44" spans="1:10" ht="30">
      <c r="A44" s="168"/>
      <c r="B44" s="168"/>
      <c r="C44" s="92" t="s">
        <v>191</v>
      </c>
      <c r="D44" s="93" t="s">
        <v>130</v>
      </c>
      <c r="E44" s="93" t="s">
        <v>130</v>
      </c>
      <c r="F44" s="94">
        <f>SUM(F42:F43)</f>
        <v>446</v>
      </c>
    </row>
    <row r="45" spans="1:10" ht="15">
      <c r="A45" s="166" t="s">
        <v>167</v>
      </c>
      <c r="B45" s="166"/>
      <c r="C45" s="166"/>
      <c r="D45" s="166"/>
      <c r="E45" s="166"/>
      <c r="F45" s="101">
        <f>F44+F41+F39+F37</f>
        <v>758.98</v>
      </c>
    </row>
    <row r="46" spans="1:10">
      <c r="A46" s="169" t="s">
        <v>170</v>
      </c>
      <c r="B46" s="170" t="s">
        <v>41</v>
      </c>
      <c r="C46" s="88" t="s">
        <v>192</v>
      </c>
      <c r="D46" s="89">
        <v>1</v>
      </c>
      <c r="E46" s="89"/>
      <c r="F46" s="90">
        <v>70</v>
      </c>
    </row>
    <row r="47" spans="1:10" ht="15">
      <c r="A47" s="168"/>
      <c r="B47" s="171"/>
      <c r="C47" s="92" t="s">
        <v>193</v>
      </c>
      <c r="D47" s="93" t="s">
        <v>130</v>
      </c>
      <c r="E47" s="93" t="s">
        <v>130</v>
      </c>
      <c r="F47" s="94">
        <f>SUM(F46)</f>
        <v>70</v>
      </c>
    </row>
    <row r="48" spans="1:10">
      <c r="A48" s="169" t="s">
        <v>170</v>
      </c>
      <c r="B48" s="170" t="s">
        <v>148</v>
      </c>
      <c r="C48" s="88" t="s">
        <v>150</v>
      </c>
      <c r="D48" s="89">
        <v>1</v>
      </c>
      <c r="E48" s="89"/>
      <c r="F48" s="90">
        <v>400.32</v>
      </c>
    </row>
    <row r="49" spans="1:6">
      <c r="A49" s="172"/>
      <c r="B49" s="173"/>
      <c r="C49" s="88" t="s">
        <v>173</v>
      </c>
      <c r="D49" s="89">
        <v>1</v>
      </c>
      <c r="E49" s="89"/>
      <c r="F49" s="90">
        <v>15</v>
      </c>
    </row>
    <row r="50" spans="1:6">
      <c r="A50" s="172"/>
      <c r="B50" s="173"/>
      <c r="C50" s="88" t="s">
        <v>194</v>
      </c>
      <c r="D50" s="89">
        <v>1</v>
      </c>
      <c r="E50" s="89"/>
      <c r="F50" s="90">
        <v>15</v>
      </c>
    </row>
    <row r="51" spans="1:6">
      <c r="A51" s="172"/>
      <c r="B51" s="173"/>
      <c r="C51" s="88" t="s">
        <v>172</v>
      </c>
      <c r="D51" s="89">
        <v>1</v>
      </c>
      <c r="E51" s="89"/>
      <c r="F51" s="90">
        <v>66</v>
      </c>
    </row>
    <row r="52" spans="1:6" ht="15">
      <c r="A52" s="168"/>
      <c r="B52" s="171"/>
      <c r="C52" s="98" t="s">
        <v>166</v>
      </c>
      <c r="D52" s="93" t="s">
        <v>130</v>
      </c>
      <c r="E52" s="93" t="s">
        <v>130</v>
      </c>
      <c r="F52" s="94">
        <f>SUM(F48:F51)</f>
        <v>496.32</v>
      </c>
    </row>
    <row r="53" spans="1:6" ht="15">
      <c r="A53" s="166" t="s">
        <v>170</v>
      </c>
      <c r="B53" s="166"/>
      <c r="C53" s="166"/>
      <c r="D53" s="166"/>
      <c r="E53" s="166"/>
      <c r="F53" s="101">
        <f>F52+F47</f>
        <v>566.31999999999994</v>
      </c>
    </row>
    <row r="54" spans="1:6">
      <c r="A54" s="169" t="s">
        <v>174</v>
      </c>
      <c r="B54" s="169" t="s">
        <v>195</v>
      </c>
      <c r="C54" s="88" t="s">
        <v>178</v>
      </c>
      <c r="D54" s="89">
        <v>8</v>
      </c>
      <c r="E54" s="89"/>
      <c r="F54" s="90">
        <v>96</v>
      </c>
    </row>
    <row r="55" spans="1:6">
      <c r="A55" s="172"/>
      <c r="B55" s="172"/>
      <c r="C55" s="88" t="s">
        <v>196</v>
      </c>
      <c r="D55" s="89">
        <v>8</v>
      </c>
      <c r="E55" s="89"/>
      <c r="F55" s="90">
        <v>504</v>
      </c>
    </row>
    <row r="56" spans="1:6">
      <c r="A56" s="172"/>
      <c r="B56" s="172"/>
      <c r="C56" s="88" t="s">
        <v>197</v>
      </c>
      <c r="D56" s="89">
        <v>2</v>
      </c>
      <c r="E56" s="89"/>
      <c r="F56" s="90">
        <v>17</v>
      </c>
    </row>
    <row r="57" spans="1:6">
      <c r="A57" s="172"/>
      <c r="B57" s="172"/>
      <c r="C57" s="88" t="s">
        <v>133</v>
      </c>
      <c r="D57" s="89">
        <v>2</v>
      </c>
      <c r="E57" s="89"/>
      <c r="F57" s="90">
        <v>12</v>
      </c>
    </row>
    <row r="58" spans="1:6">
      <c r="A58" s="172"/>
      <c r="B58" s="172"/>
      <c r="C58" s="88" t="s">
        <v>132</v>
      </c>
      <c r="D58" s="89">
        <v>2</v>
      </c>
      <c r="E58" s="89"/>
      <c r="F58" s="90">
        <v>14</v>
      </c>
    </row>
    <row r="59" spans="1:6">
      <c r="A59" s="172"/>
      <c r="B59" s="172"/>
      <c r="C59" s="88" t="s">
        <v>198</v>
      </c>
      <c r="D59" s="89">
        <v>2</v>
      </c>
      <c r="E59" s="89"/>
      <c r="F59" s="90">
        <v>252</v>
      </c>
    </row>
    <row r="60" spans="1:6">
      <c r="A60" s="172"/>
      <c r="B60" s="172"/>
      <c r="C60" s="88" t="s">
        <v>199</v>
      </c>
      <c r="D60" s="89">
        <v>2</v>
      </c>
      <c r="E60" s="89"/>
      <c r="F60" s="90">
        <v>860</v>
      </c>
    </row>
    <row r="61" spans="1:6">
      <c r="A61" s="172"/>
      <c r="B61" s="172"/>
      <c r="C61" s="88" t="s">
        <v>200</v>
      </c>
      <c r="D61" s="89">
        <v>3</v>
      </c>
      <c r="E61" s="89"/>
      <c r="F61" s="96">
        <v>1260</v>
      </c>
    </row>
    <row r="62" spans="1:6">
      <c r="A62" s="172"/>
      <c r="B62" s="172"/>
      <c r="C62" s="88" t="s">
        <v>158</v>
      </c>
      <c r="D62" s="89">
        <v>0.5</v>
      </c>
      <c r="E62" s="89"/>
      <c r="F62" s="90">
        <v>185.25</v>
      </c>
    </row>
    <row r="63" spans="1:6">
      <c r="A63" s="172"/>
      <c r="B63" s="172"/>
      <c r="C63" s="88" t="s">
        <v>201</v>
      </c>
      <c r="D63" s="89">
        <v>8</v>
      </c>
      <c r="E63" s="89"/>
      <c r="F63" s="90">
        <v>200</v>
      </c>
    </row>
    <row r="64" spans="1:6" ht="30">
      <c r="A64" s="168"/>
      <c r="B64" s="168"/>
      <c r="C64" s="92" t="s">
        <v>202</v>
      </c>
      <c r="D64" s="93" t="s">
        <v>130</v>
      </c>
      <c r="E64" s="93" t="s">
        <v>130</v>
      </c>
      <c r="F64" s="94">
        <f>SUM(F54:F63)</f>
        <v>3400.25</v>
      </c>
    </row>
    <row r="65" spans="1:9">
      <c r="A65" s="169" t="s">
        <v>174</v>
      </c>
      <c r="B65" s="169" t="s">
        <v>189</v>
      </c>
      <c r="C65" s="88" t="s">
        <v>203</v>
      </c>
      <c r="D65" s="89">
        <v>1</v>
      </c>
      <c r="E65" s="89"/>
      <c r="F65" s="90">
        <v>55</v>
      </c>
    </row>
    <row r="66" spans="1:9">
      <c r="A66" s="172"/>
      <c r="B66" s="172"/>
      <c r="C66" s="88" t="s">
        <v>204</v>
      </c>
      <c r="D66" s="89">
        <v>1</v>
      </c>
      <c r="E66" s="89"/>
      <c r="F66" s="90">
        <v>120</v>
      </c>
    </row>
    <row r="67" spans="1:9">
      <c r="A67" s="172"/>
      <c r="B67" s="172"/>
      <c r="C67" s="88" t="s">
        <v>161</v>
      </c>
      <c r="D67" s="89">
        <v>2</v>
      </c>
      <c r="E67" s="89"/>
      <c r="F67" s="90">
        <v>40</v>
      </c>
    </row>
    <row r="68" spans="1:9">
      <c r="A68" s="172"/>
      <c r="B68" s="172"/>
      <c r="C68" s="88" t="s">
        <v>165</v>
      </c>
      <c r="D68" s="89">
        <v>2</v>
      </c>
      <c r="E68" s="89"/>
      <c r="F68" s="90">
        <v>40</v>
      </c>
    </row>
    <row r="69" spans="1:9">
      <c r="A69" s="172"/>
      <c r="B69" s="172"/>
      <c r="C69" s="88" t="s">
        <v>205</v>
      </c>
      <c r="D69" s="89">
        <v>2</v>
      </c>
      <c r="E69" s="89"/>
      <c r="F69" s="90">
        <v>92</v>
      </c>
    </row>
    <row r="70" spans="1:9" ht="30">
      <c r="A70" s="168"/>
      <c r="B70" s="168"/>
      <c r="C70" s="92" t="s">
        <v>191</v>
      </c>
      <c r="D70" s="93" t="s">
        <v>130</v>
      </c>
      <c r="E70" s="93" t="s">
        <v>130</v>
      </c>
      <c r="F70" s="94">
        <f>SUM(F65:F69)</f>
        <v>347</v>
      </c>
    </row>
    <row r="71" spans="1:9">
      <c r="A71" s="169" t="s">
        <v>174</v>
      </c>
      <c r="B71" s="170" t="s">
        <v>148</v>
      </c>
      <c r="C71" s="88" t="s">
        <v>206</v>
      </c>
      <c r="D71" s="89">
        <v>7</v>
      </c>
      <c r="E71" s="89"/>
      <c r="F71" s="96">
        <v>1190</v>
      </c>
    </row>
    <row r="72" spans="1:9">
      <c r="A72" s="172"/>
      <c r="B72" s="173"/>
      <c r="C72" s="88" t="s">
        <v>207</v>
      </c>
      <c r="D72" s="89">
        <v>2</v>
      </c>
      <c r="E72" s="89"/>
      <c r="F72" s="90">
        <v>130</v>
      </c>
    </row>
    <row r="73" spans="1:9" ht="15">
      <c r="A73" s="168"/>
      <c r="B73" s="171"/>
      <c r="C73" s="98" t="s">
        <v>166</v>
      </c>
      <c r="D73" s="93" t="s">
        <v>130</v>
      </c>
      <c r="E73" s="93" t="s">
        <v>130</v>
      </c>
      <c r="F73" s="94">
        <f>SUM(F71:F72)</f>
        <v>1320</v>
      </c>
    </row>
    <row r="74" spans="1:9">
      <c r="A74" s="167" t="s">
        <v>174</v>
      </c>
      <c r="B74" s="169" t="s">
        <v>44</v>
      </c>
      <c r="C74" s="88" t="s">
        <v>134</v>
      </c>
      <c r="D74" s="89">
        <v>2</v>
      </c>
      <c r="E74" s="89"/>
      <c r="F74" s="90">
        <v>38</v>
      </c>
    </row>
    <row r="75" spans="1:9" ht="45">
      <c r="A75" s="168"/>
      <c r="B75" s="168"/>
      <c r="C75" s="95" t="s">
        <v>135</v>
      </c>
      <c r="D75" s="93" t="s">
        <v>130</v>
      </c>
      <c r="E75" s="93" t="s">
        <v>130</v>
      </c>
      <c r="F75" s="94">
        <f>SUM(F74)</f>
        <v>38</v>
      </c>
    </row>
    <row r="76" spans="1:9">
      <c r="A76" s="167" t="s">
        <v>174</v>
      </c>
      <c r="B76" s="170" t="s">
        <v>179</v>
      </c>
      <c r="C76" s="88" t="s">
        <v>208</v>
      </c>
      <c r="D76" s="89">
        <v>3</v>
      </c>
      <c r="E76" s="89"/>
      <c r="F76" s="96">
        <v>1530</v>
      </c>
    </row>
    <row r="77" spans="1:9" ht="15">
      <c r="A77" s="168"/>
      <c r="B77" s="171"/>
      <c r="C77" s="92" t="s">
        <v>180</v>
      </c>
      <c r="D77" s="93" t="s">
        <v>130</v>
      </c>
      <c r="E77" s="93" t="s">
        <v>130</v>
      </c>
      <c r="F77" s="94">
        <f>SUM(F76)</f>
        <v>1530</v>
      </c>
    </row>
    <row r="78" spans="1:9" ht="15">
      <c r="A78" s="166" t="s">
        <v>174</v>
      </c>
      <c r="B78" s="166"/>
      <c r="C78" s="166"/>
      <c r="D78" s="166"/>
      <c r="E78" s="166"/>
      <c r="F78" s="101">
        <f>F77+F75+F73+F70+F64</f>
        <v>6635.25</v>
      </c>
    </row>
    <row r="79" spans="1:9" ht="15">
      <c r="A79" s="166" t="s">
        <v>175</v>
      </c>
      <c r="B79" s="166"/>
      <c r="C79" s="166"/>
      <c r="D79" s="166"/>
      <c r="E79" s="166"/>
      <c r="F79" s="102">
        <f>F78+F53+F45</f>
        <v>7960.5499999999993</v>
      </c>
      <c r="H79" s="112"/>
      <c r="I79" s="103"/>
    </row>
    <row r="80" spans="1:9" ht="15">
      <c r="A80" s="166" t="s">
        <v>176</v>
      </c>
      <c r="B80" s="166"/>
      <c r="C80" s="166"/>
      <c r="D80" s="166"/>
      <c r="E80" s="166"/>
      <c r="F80" s="101">
        <f>F79+F35</f>
        <v>9527.4199999999983</v>
      </c>
      <c r="G80" s="104"/>
    </row>
    <row r="81" spans="6:6">
      <c r="F81" s="104">
        <f>F80-'Фабричная дом № 7'!D29</f>
        <v>0</v>
      </c>
    </row>
  </sheetData>
  <mergeCells count="56">
    <mergeCell ref="A4:F4"/>
    <mergeCell ref="A6:A7"/>
    <mergeCell ref="B6:B7"/>
    <mergeCell ref="A1:F1"/>
    <mergeCell ref="A2:F2"/>
    <mergeCell ref="A19:A20"/>
    <mergeCell ref="B19:B20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A18"/>
    <mergeCell ref="B17:B18"/>
    <mergeCell ref="A36:A37"/>
    <mergeCell ref="B36:B37"/>
    <mergeCell ref="A21:A22"/>
    <mergeCell ref="B21:B22"/>
    <mergeCell ref="A23:A27"/>
    <mergeCell ref="B23:B27"/>
    <mergeCell ref="A28:A29"/>
    <mergeCell ref="B28:B29"/>
    <mergeCell ref="A30:A32"/>
    <mergeCell ref="B30:B32"/>
    <mergeCell ref="A33:E33"/>
    <mergeCell ref="A34:E34"/>
    <mergeCell ref="A35:E35"/>
    <mergeCell ref="A53:E53"/>
    <mergeCell ref="A38:A39"/>
    <mergeCell ref="B38:B39"/>
    <mergeCell ref="A40:A41"/>
    <mergeCell ref="B40:B41"/>
    <mergeCell ref="A42:A44"/>
    <mergeCell ref="B42:B44"/>
    <mergeCell ref="A45:E45"/>
    <mergeCell ref="A46:A47"/>
    <mergeCell ref="B46:B47"/>
    <mergeCell ref="A48:A52"/>
    <mergeCell ref="B48:B52"/>
    <mergeCell ref="A54:A64"/>
    <mergeCell ref="B54:B64"/>
    <mergeCell ref="A65:A70"/>
    <mergeCell ref="B65:B70"/>
    <mergeCell ref="A71:A73"/>
    <mergeCell ref="B71:B73"/>
    <mergeCell ref="A80:E80"/>
    <mergeCell ref="A74:A75"/>
    <mergeCell ref="B74:B75"/>
    <mergeCell ref="A76:A77"/>
    <mergeCell ref="B76:B77"/>
    <mergeCell ref="A78:E78"/>
    <mergeCell ref="A79:E79"/>
  </mergeCells>
  <pageMargins left="0.9055118110236221" right="0.15748031496062992" top="0.23622047244094491" bottom="0.16" header="0.19685039370078741" footer="0.15748031496062992"/>
  <pageSetup paperSize="285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workbookViewId="0">
      <selection activeCell="T38" sqref="T38"/>
    </sheetView>
  </sheetViews>
  <sheetFormatPr defaultRowHeight="15"/>
  <cols>
    <col min="1" max="1" width="31.28515625" style="62" customWidth="1"/>
    <col min="2" max="2" width="11.140625" style="62" customWidth="1"/>
    <col min="3" max="3" width="11.28515625" style="62" customWidth="1"/>
    <col min="4" max="4" width="11.140625" style="62" customWidth="1"/>
    <col min="5" max="5" width="12.28515625" style="62" customWidth="1"/>
    <col min="6" max="6" width="10.85546875" style="62" customWidth="1"/>
    <col min="7" max="7" width="10.140625" style="62" customWidth="1"/>
    <col min="8" max="8" width="12.28515625" style="62" customWidth="1"/>
    <col min="9" max="9" width="11.42578125" style="62" customWidth="1"/>
    <col min="10" max="10" width="11.140625" style="62" customWidth="1"/>
    <col min="11" max="11" width="11.42578125" style="62" customWidth="1"/>
    <col min="12" max="12" width="10.7109375" style="62" customWidth="1"/>
    <col min="13" max="13" width="10.5703125" style="62" customWidth="1"/>
    <col min="14" max="14" width="11" style="62" customWidth="1"/>
    <col min="15" max="15" width="10.7109375" style="62" customWidth="1"/>
    <col min="16" max="16" width="11.28515625" style="62" customWidth="1"/>
    <col min="17" max="17" width="10.140625" style="62" customWidth="1"/>
    <col min="18" max="18" width="10.7109375" style="62" customWidth="1"/>
    <col min="19" max="19" width="10.140625" style="62" customWidth="1"/>
    <col min="20" max="20" width="11.42578125" style="67" customWidth="1"/>
    <col min="21" max="16384" width="9.140625" style="62"/>
  </cols>
  <sheetData>
    <row r="1" spans="1:20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21">
      <c r="A2" s="181" t="s">
        <v>85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>
      <c r="A3" s="63"/>
      <c r="B3" s="71">
        <v>42005</v>
      </c>
      <c r="C3" s="71">
        <v>42036</v>
      </c>
      <c r="D3" s="71">
        <v>42064</v>
      </c>
      <c r="E3" s="72" t="s">
        <v>104</v>
      </c>
      <c r="F3" s="71">
        <v>42095</v>
      </c>
      <c r="G3" s="71">
        <v>42125</v>
      </c>
      <c r="H3" s="71">
        <v>42156</v>
      </c>
      <c r="I3" s="71" t="s">
        <v>105</v>
      </c>
      <c r="J3" s="71" t="s">
        <v>106</v>
      </c>
      <c r="K3" s="71">
        <v>42186</v>
      </c>
      <c r="L3" s="71">
        <v>42217</v>
      </c>
      <c r="M3" s="71">
        <v>42248</v>
      </c>
      <c r="N3" s="71" t="s">
        <v>107</v>
      </c>
      <c r="O3" s="71" t="s">
        <v>108</v>
      </c>
      <c r="P3" s="71">
        <v>42278</v>
      </c>
      <c r="Q3" s="71">
        <v>42309</v>
      </c>
      <c r="R3" s="71">
        <v>42339</v>
      </c>
      <c r="S3" s="72" t="s">
        <v>109</v>
      </c>
      <c r="T3" s="64" t="s">
        <v>110</v>
      </c>
    </row>
    <row r="4" spans="1:20" s="67" customFormat="1" ht="14.25" customHeight="1">
      <c r="A4" s="65" t="s">
        <v>53</v>
      </c>
      <c r="B4" s="66">
        <v>3172.1916897896263</v>
      </c>
      <c r="C4" s="66">
        <v>2680.3691385392399</v>
      </c>
      <c r="D4" s="66">
        <v>3236.5818414426835</v>
      </c>
      <c r="E4" s="66">
        <v>9089.1426697715488</v>
      </c>
      <c r="F4" s="66">
        <v>2211.6960621590511</v>
      </c>
      <c r="G4" s="66">
        <v>2731.3201491638911</v>
      </c>
      <c r="H4" s="66">
        <v>2467.5233938541505</v>
      </c>
      <c r="I4" s="66">
        <v>7410.5396051770922</v>
      </c>
      <c r="J4" s="66">
        <v>16499.682274948642</v>
      </c>
      <c r="K4" s="66">
        <v>2391.7643872811882</v>
      </c>
      <c r="L4" s="66">
        <v>2085.492576450506</v>
      </c>
      <c r="M4" s="66">
        <v>3646.6841287557941</v>
      </c>
      <c r="N4" s="66">
        <v>8123.9410924874874</v>
      </c>
      <c r="O4" s="66">
        <v>24623.623367436128</v>
      </c>
      <c r="P4" s="66">
        <v>2353.7097110844916</v>
      </c>
      <c r="Q4" s="66">
        <v>2614.6307894599795</v>
      </c>
      <c r="R4" s="66">
        <v>2497.4900497960184</v>
      </c>
      <c r="S4" s="66">
        <v>7465.8305503404899</v>
      </c>
      <c r="T4" s="66">
        <v>32089.453917776616</v>
      </c>
    </row>
    <row r="5" spans="1:20" ht="14.25" customHeight="1">
      <c r="A5" s="68" t="s">
        <v>86</v>
      </c>
      <c r="B5" s="69">
        <v>3091.254578950362</v>
      </c>
      <c r="C5" s="69">
        <v>2598.7271441852918</v>
      </c>
      <c r="D5" s="69">
        <v>2985.4040724487541</v>
      </c>
      <c r="E5" s="69">
        <v>8675.3857955844069</v>
      </c>
      <c r="F5" s="69">
        <v>2172.6871331226603</v>
      </c>
      <c r="G5" s="69">
        <v>2700.8431016232807</v>
      </c>
      <c r="H5" s="69">
        <v>2386.5217461607745</v>
      </c>
      <c r="I5" s="69">
        <v>7260.0519809067155</v>
      </c>
      <c r="J5" s="69">
        <v>15935.437776491122</v>
      </c>
      <c r="K5" s="69">
        <v>2347.4631730960605</v>
      </c>
      <c r="L5" s="69">
        <v>2051.4225140830931</v>
      </c>
      <c r="M5" s="69">
        <v>3608.7964460474059</v>
      </c>
      <c r="N5" s="69">
        <v>8007.682133226559</v>
      </c>
      <c r="O5" s="69">
        <v>23943.11990971768</v>
      </c>
      <c r="P5" s="69">
        <v>2245.6235926103222</v>
      </c>
      <c r="Q5" s="69">
        <v>2523.8912480657523</v>
      </c>
      <c r="R5" s="69">
        <v>2327.5302770215453</v>
      </c>
      <c r="S5" s="69">
        <v>7097.0451176976203</v>
      </c>
      <c r="T5" s="66">
        <v>31040.1650274153</v>
      </c>
    </row>
    <row r="6" spans="1:20" ht="14.25" customHeight="1">
      <c r="A6" s="68" t="s">
        <v>87</v>
      </c>
      <c r="B6" s="69">
        <v>0</v>
      </c>
      <c r="C6" s="69">
        <v>0</v>
      </c>
      <c r="D6" s="69">
        <v>171.25</v>
      </c>
      <c r="E6" s="69">
        <v>171.25</v>
      </c>
      <c r="F6" s="69">
        <v>0</v>
      </c>
      <c r="G6" s="69">
        <v>0</v>
      </c>
      <c r="H6" s="69">
        <v>0</v>
      </c>
      <c r="I6" s="69">
        <v>0</v>
      </c>
      <c r="J6" s="69">
        <v>171.25</v>
      </c>
      <c r="K6" s="69">
        <v>0</v>
      </c>
      <c r="L6" s="69">
        <v>0</v>
      </c>
      <c r="M6" s="69">
        <v>0</v>
      </c>
      <c r="N6" s="69">
        <v>0</v>
      </c>
      <c r="O6" s="69">
        <v>171.25</v>
      </c>
      <c r="P6" s="69">
        <v>21.9</v>
      </c>
      <c r="Q6" s="69">
        <v>61.489999999999995</v>
      </c>
      <c r="R6" s="69">
        <v>33.159999999999997</v>
      </c>
      <c r="S6" s="69">
        <v>116.54999999999998</v>
      </c>
      <c r="T6" s="66">
        <v>287.79999999999995</v>
      </c>
    </row>
    <row r="7" spans="1:20" ht="14.25" customHeight="1">
      <c r="A7" s="68" t="s">
        <v>88</v>
      </c>
      <c r="B7" s="69">
        <v>80.937110839264179</v>
      </c>
      <c r="C7" s="69">
        <v>81.641994353948022</v>
      </c>
      <c r="D7" s="69">
        <v>79.927768993929675</v>
      </c>
      <c r="E7" s="69">
        <v>242.50687418714188</v>
      </c>
      <c r="F7" s="69">
        <v>39.008929036390626</v>
      </c>
      <c r="G7" s="69">
        <v>30.477047540610418</v>
      </c>
      <c r="H7" s="69">
        <v>81.001647693376086</v>
      </c>
      <c r="I7" s="69">
        <v>150.48762427037713</v>
      </c>
      <c r="J7" s="69">
        <v>392.994498457519</v>
      </c>
      <c r="K7" s="69">
        <v>44.301214185127776</v>
      </c>
      <c r="L7" s="69">
        <v>34.07006236741271</v>
      </c>
      <c r="M7" s="69">
        <v>37.887682708388027</v>
      </c>
      <c r="N7" s="69">
        <v>116.25895926092852</v>
      </c>
      <c r="O7" s="69">
        <v>509.25345771844752</v>
      </c>
      <c r="P7" s="69">
        <v>86.186118474169248</v>
      </c>
      <c r="Q7" s="69">
        <v>29.249541394227254</v>
      </c>
      <c r="R7" s="69">
        <v>136.79977277447327</v>
      </c>
      <c r="S7" s="69">
        <v>252.2354326428698</v>
      </c>
      <c r="T7" s="66">
        <v>761.48889036131732</v>
      </c>
    </row>
    <row r="8" spans="1:20" s="67" customFormat="1" ht="28.5" customHeight="1">
      <c r="A8" s="65" t="s">
        <v>54</v>
      </c>
      <c r="B8" s="66">
        <v>4492.4034775458767</v>
      </c>
      <c r="C8" s="66">
        <v>2202.2291470400833</v>
      </c>
      <c r="D8" s="66">
        <v>2941.426842367167</v>
      </c>
      <c r="E8" s="66">
        <v>9636.0594669531274</v>
      </c>
      <c r="F8" s="66">
        <v>2457.9750446528292</v>
      </c>
      <c r="G8" s="66">
        <v>2429.4001407021119</v>
      </c>
      <c r="H8" s="66">
        <v>2446.5165811553966</v>
      </c>
      <c r="I8" s="66">
        <v>7333.8917665103381</v>
      </c>
      <c r="J8" s="66">
        <v>16969.951233463467</v>
      </c>
      <c r="K8" s="66">
        <v>2387.9510930683655</v>
      </c>
      <c r="L8" s="66">
        <v>2167.219200845765</v>
      </c>
      <c r="M8" s="66">
        <v>3571.3580326873684</v>
      </c>
      <c r="N8" s="66">
        <v>8126.5283266014985</v>
      </c>
      <c r="O8" s="66">
        <v>25096.479560064967</v>
      </c>
      <c r="P8" s="66">
        <v>2444.2112303177578</v>
      </c>
      <c r="Q8" s="66">
        <v>2298.001754239966</v>
      </c>
      <c r="R8" s="66">
        <v>2427.638545467169</v>
      </c>
      <c r="S8" s="66">
        <v>7169.8515300248919</v>
      </c>
      <c r="T8" s="66">
        <v>32266.331090089858</v>
      </c>
    </row>
    <row r="9" spans="1:20" ht="15" customHeight="1">
      <c r="A9" s="68" t="s">
        <v>86</v>
      </c>
      <c r="B9" s="69">
        <v>4411.4663667066125</v>
      </c>
      <c r="C9" s="69">
        <v>2120.5871526861351</v>
      </c>
      <c r="D9" s="69">
        <v>2837.7790733732377</v>
      </c>
      <c r="E9" s="69">
        <v>9369.8325927659862</v>
      </c>
      <c r="F9" s="69">
        <v>2418.9661156164384</v>
      </c>
      <c r="G9" s="69">
        <v>2398.9230931615016</v>
      </c>
      <c r="H9" s="69">
        <v>2348.9040079976894</v>
      </c>
      <c r="I9" s="69">
        <v>7166.7932167756298</v>
      </c>
      <c r="J9" s="69">
        <v>16536.625809541616</v>
      </c>
      <c r="K9" s="69">
        <v>2343.6498788832378</v>
      </c>
      <c r="L9" s="69">
        <v>2133.1491384783521</v>
      </c>
      <c r="M9" s="69">
        <v>3533.4703499789803</v>
      </c>
      <c r="N9" s="69">
        <v>8010.2693673405702</v>
      </c>
      <c r="O9" s="69">
        <v>24546.895176882186</v>
      </c>
      <c r="P9" s="69">
        <v>2303.0251118435885</v>
      </c>
      <c r="Q9" s="69">
        <v>2241.7522128457385</v>
      </c>
      <c r="R9" s="69">
        <v>2290.8387726926958</v>
      </c>
      <c r="S9" s="69">
        <v>6835.6160973820224</v>
      </c>
      <c r="T9" s="66">
        <v>31382.511274264209</v>
      </c>
    </row>
    <row r="10" spans="1:20" ht="14.25" customHeight="1">
      <c r="A10" s="68" t="s">
        <v>87</v>
      </c>
      <c r="B10" s="69">
        <v>0</v>
      </c>
      <c r="C10" s="69">
        <v>0</v>
      </c>
      <c r="D10" s="69">
        <v>23.72</v>
      </c>
      <c r="E10" s="69">
        <v>23.72</v>
      </c>
      <c r="F10" s="69">
        <v>0</v>
      </c>
      <c r="G10" s="69">
        <v>0</v>
      </c>
      <c r="H10" s="69">
        <v>0</v>
      </c>
      <c r="I10" s="69">
        <v>0</v>
      </c>
      <c r="J10" s="69">
        <v>23.72</v>
      </c>
      <c r="K10" s="69">
        <v>0</v>
      </c>
      <c r="L10" s="69">
        <v>0</v>
      </c>
      <c r="M10" s="69">
        <v>0</v>
      </c>
      <c r="N10" s="69">
        <v>0</v>
      </c>
      <c r="O10" s="69">
        <v>23.72</v>
      </c>
      <c r="P10" s="69">
        <v>55</v>
      </c>
      <c r="Q10" s="69">
        <v>27</v>
      </c>
      <c r="R10" s="69">
        <v>0</v>
      </c>
      <c r="S10" s="69">
        <v>82</v>
      </c>
      <c r="T10" s="66">
        <v>105.72</v>
      </c>
    </row>
    <row r="11" spans="1:20" ht="14.25" customHeight="1">
      <c r="A11" s="68" t="s">
        <v>88</v>
      </c>
      <c r="B11" s="69">
        <v>80.937110839264179</v>
      </c>
      <c r="C11" s="69">
        <v>81.641994353948022</v>
      </c>
      <c r="D11" s="69">
        <v>79.927768993929675</v>
      </c>
      <c r="E11" s="69">
        <v>242.50687418714188</v>
      </c>
      <c r="F11" s="69">
        <v>39.008929036390626</v>
      </c>
      <c r="G11" s="69">
        <v>30.477047540610418</v>
      </c>
      <c r="H11" s="69">
        <v>97.61257315770726</v>
      </c>
      <c r="I11" s="69">
        <v>167.09854973470829</v>
      </c>
      <c r="J11" s="69">
        <v>409.60542392185016</v>
      </c>
      <c r="K11" s="69">
        <v>44.301214185127776</v>
      </c>
      <c r="L11" s="69">
        <v>34.07006236741271</v>
      </c>
      <c r="M11" s="69">
        <v>37.887682708388027</v>
      </c>
      <c r="N11" s="69">
        <v>116.25895926092852</v>
      </c>
      <c r="O11" s="69">
        <v>525.86438318277874</v>
      </c>
      <c r="P11" s="69">
        <v>86.186118474169248</v>
      </c>
      <c r="Q11" s="69">
        <v>29.249541394227254</v>
      </c>
      <c r="R11" s="69">
        <v>136.79977277447327</v>
      </c>
      <c r="S11" s="69">
        <v>252.2354326428698</v>
      </c>
      <c r="T11" s="66">
        <v>778.09981582564853</v>
      </c>
    </row>
    <row r="12" spans="1:20" s="67" customFormat="1" ht="25.5" customHeight="1">
      <c r="A12" s="65" t="s">
        <v>55</v>
      </c>
      <c r="B12" s="66">
        <v>384.64411260708977</v>
      </c>
      <c r="C12" s="66">
        <v>321.47767639569952</v>
      </c>
      <c r="D12" s="66">
        <v>409.62294624273045</v>
      </c>
      <c r="E12" s="66">
        <v>1115.7447352455197</v>
      </c>
      <c r="F12" s="66">
        <v>336.38446425087722</v>
      </c>
      <c r="G12" s="66">
        <v>410.28133355121633</v>
      </c>
      <c r="H12" s="66">
        <v>352.61574801984085</v>
      </c>
      <c r="I12" s="66">
        <v>1099.2815458219343</v>
      </c>
      <c r="J12" s="66">
        <v>2215.026281067454</v>
      </c>
      <c r="K12" s="66">
        <v>347.07970612617942</v>
      </c>
      <c r="L12" s="66">
        <v>287.93316797602017</v>
      </c>
      <c r="M12" s="66">
        <v>388.74165531215635</v>
      </c>
      <c r="N12" s="66">
        <v>1023.7545294143558</v>
      </c>
      <c r="O12" s="66">
        <v>3238.7808104818096</v>
      </c>
      <c r="P12" s="66">
        <v>351.29494941573955</v>
      </c>
      <c r="Q12" s="66">
        <v>304.52180072185661</v>
      </c>
      <c r="R12" s="66">
        <v>388.43577723283283</v>
      </c>
      <c r="S12" s="66">
        <v>1044.2525273704289</v>
      </c>
      <c r="T12" s="66">
        <v>4283.0333378522391</v>
      </c>
    </row>
    <row r="13" spans="1:20" ht="14.25" customHeight="1">
      <c r="A13" s="68" t="s">
        <v>86</v>
      </c>
      <c r="B13" s="69">
        <v>339.11041161880837</v>
      </c>
      <c r="C13" s="69">
        <v>275.54742115861467</v>
      </c>
      <c r="D13" s="69">
        <v>357.76172158470695</v>
      </c>
      <c r="E13" s="69">
        <v>972.41955436212993</v>
      </c>
      <c r="F13" s="69">
        <v>314.43877219197043</v>
      </c>
      <c r="G13" s="69">
        <v>393.13551804915647</v>
      </c>
      <c r="H13" s="69">
        <v>307.04573980750132</v>
      </c>
      <c r="I13" s="69">
        <v>1014.6200300486282</v>
      </c>
      <c r="J13" s="69">
        <v>1987.0395844107582</v>
      </c>
      <c r="K13" s="69">
        <v>322.15667367287818</v>
      </c>
      <c r="L13" s="69">
        <v>268.76598970138764</v>
      </c>
      <c r="M13" s="69">
        <v>307.9427458939615</v>
      </c>
      <c r="N13" s="69">
        <v>898.86540926822727</v>
      </c>
      <c r="O13" s="69">
        <v>2885.9049936789852</v>
      </c>
      <c r="P13" s="69">
        <v>302.80825515089276</v>
      </c>
      <c r="Q13" s="69">
        <v>282.24774014361969</v>
      </c>
      <c r="R13" s="69">
        <v>311.47479006406553</v>
      </c>
      <c r="S13" s="69">
        <v>896.53078535857799</v>
      </c>
      <c r="T13" s="66">
        <v>3782.4357790375634</v>
      </c>
    </row>
    <row r="14" spans="1:20" ht="14.25" customHeight="1">
      <c r="A14" s="68" t="s">
        <v>87</v>
      </c>
      <c r="B14" s="69">
        <v>0</v>
      </c>
      <c r="C14" s="69">
        <v>0</v>
      </c>
      <c r="D14" s="69">
        <v>6.8953604667794082</v>
      </c>
      <c r="E14" s="69">
        <v>6.8953604667794082</v>
      </c>
      <c r="F14" s="69">
        <v>0</v>
      </c>
      <c r="G14" s="69">
        <v>0</v>
      </c>
      <c r="H14" s="69">
        <v>0</v>
      </c>
      <c r="I14" s="69">
        <v>0</v>
      </c>
      <c r="J14" s="69">
        <v>6.8953604667794082</v>
      </c>
      <c r="K14" s="69">
        <v>0</v>
      </c>
      <c r="L14" s="69">
        <v>0</v>
      </c>
      <c r="M14" s="69">
        <v>0</v>
      </c>
      <c r="N14" s="69">
        <v>0</v>
      </c>
      <c r="O14" s="69">
        <v>6.8953604667794082</v>
      </c>
      <c r="P14" s="69">
        <v>0</v>
      </c>
      <c r="Q14" s="69">
        <v>5.818817018406186</v>
      </c>
      <c r="R14" s="69">
        <v>0</v>
      </c>
      <c r="S14" s="69">
        <v>5.818817018406186</v>
      </c>
      <c r="T14" s="66">
        <v>12.714177485185594</v>
      </c>
    </row>
    <row r="15" spans="1:20" ht="14.25" customHeight="1">
      <c r="A15" s="68" t="s">
        <v>88</v>
      </c>
      <c r="B15" s="69">
        <v>45.533700988281417</v>
      </c>
      <c r="C15" s="69">
        <v>45.930255237084836</v>
      </c>
      <c r="D15" s="69">
        <v>44.965864191244115</v>
      </c>
      <c r="E15" s="69">
        <v>136.42982041661037</v>
      </c>
      <c r="F15" s="69">
        <v>21.945692058906801</v>
      </c>
      <c r="G15" s="69">
        <v>17.145815502059854</v>
      </c>
      <c r="H15" s="69">
        <v>45.570008212339509</v>
      </c>
      <c r="I15" s="69">
        <v>84.661515773306164</v>
      </c>
      <c r="J15" s="69">
        <v>221.09133618991655</v>
      </c>
      <c r="K15" s="69">
        <v>24.923032453301225</v>
      </c>
      <c r="L15" s="69">
        <v>19.167178274632533</v>
      </c>
      <c r="M15" s="69">
        <v>80.798909418194839</v>
      </c>
      <c r="N15" s="69">
        <v>124.88912014612859</v>
      </c>
      <c r="O15" s="69">
        <v>345.98045633604511</v>
      </c>
      <c r="P15" s="69">
        <v>48.486694264846797</v>
      </c>
      <c r="Q15" s="69">
        <v>16.455243559830681</v>
      </c>
      <c r="R15" s="69">
        <v>76.960987168767304</v>
      </c>
      <c r="S15" s="69">
        <v>141.90292499344477</v>
      </c>
      <c r="T15" s="66">
        <v>487.88338132948991</v>
      </c>
    </row>
    <row r="16" spans="1:20" s="67" customFormat="1" ht="26.25" customHeight="1">
      <c r="A16" s="65" t="s">
        <v>56</v>
      </c>
      <c r="B16" s="66">
        <v>2089.4024309918241</v>
      </c>
      <c r="C16" s="66">
        <v>1983.0473991657557</v>
      </c>
      <c r="D16" s="66">
        <v>2433.5549686504769</v>
      </c>
      <c r="E16" s="66">
        <v>6506.0047988080569</v>
      </c>
      <c r="F16" s="66">
        <v>2555.2618430237667</v>
      </c>
      <c r="G16" s="66">
        <v>1791.31185268937</v>
      </c>
      <c r="H16" s="66">
        <v>2530.798639135442</v>
      </c>
      <c r="I16" s="66">
        <v>6877.3723348485782</v>
      </c>
      <c r="J16" s="66">
        <v>13383.377133656637</v>
      </c>
      <c r="K16" s="66">
        <v>2109.9713861948781</v>
      </c>
      <c r="L16" s="66">
        <v>2489.9183530133369</v>
      </c>
      <c r="M16" s="66">
        <v>2608.6873319579272</v>
      </c>
      <c r="N16" s="66">
        <v>7208.5770711661426</v>
      </c>
      <c r="O16" s="66">
        <v>20591.954204822778</v>
      </c>
      <c r="P16" s="66">
        <v>2409.2040370491618</v>
      </c>
      <c r="Q16" s="66">
        <v>2564.1281921690866</v>
      </c>
      <c r="R16" s="66">
        <v>2851.9211635818206</v>
      </c>
      <c r="S16" s="66">
        <v>7825.2533928000685</v>
      </c>
      <c r="T16" s="66">
        <v>28417.207597622848</v>
      </c>
    </row>
    <row r="17" spans="1:20" ht="14.25" customHeight="1">
      <c r="A17" s="68" t="s">
        <v>86</v>
      </c>
      <c r="B17" s="69">
        <v>1906.653049968704</v>
      </c>
      <c r="C17" s="69">
        <v>1805.512879668817</v>
      </c>
      <c r="D17" s="69">
        <v>2159.1405173102503</v>
      </c>
      <c r="E17" s="69">
        <v>5871.3064469477713</v>
      </c>
      <c r="F17" s="69">
        <v>2453.8253006504474</v>
      </c>
      <c r="G17" s="69">
        <v>1699.707951108619</v>
      </c>
      <c r="H17" s="69">
        <v>2352.2858781899945</v>
      </c>
      <c r="I17" s="69">
        <v>6505.8191299490609</v>
      </c>
      <c r="J17" s="69">
        <v>12377.125576896833</v>
      </c>
      <c r="K17" s="69">
        <v>1990.143200287135</v>
      </c>
      <c r="L17" s="69">
        <v>2386.1948567829195</v>
      </c>
      <c r="M17" s="69">
        <v>2486.709026225355</v>
      </c>
      <c r="N17" s="69">
        <v>6863.0470832954097</v>
      </c>
      <c r="O17" s="69">
        <v>19240.172660192242</v>
      </c>
      <c r="P17" s="69">
        <v>2212.2754213472354</v>
      </c>
      <c r="Q17" s="69">
        <v>2269.522193091535</v>
      </c>
      <c r="R17" s="69">
        <v>2558.1692586770441</v>
      </c>
      <c r="S17" s="69">
        <v>7039.9668731158145</v>
      </c>
      <c r="T17" s="66">
        <v>26280.139533308058</v>
      </c>
    </row>
    <row r="18" spans="1:20" ht="14.25" customHeight="1">
      <c r="A18" s="68" t="s">
        <v>87</v>
      </c>
      <c r="B18" s="69">
        <v>0</v>
      </c>
      <c r="C18" s="69">
        <v>0</v>
      </c>
      <c r="D18" s="69">
        <v>94.643166431320438</v>
      </c>
      <c r="E18" s="69">
        <v>94.643166431320438</v>
      </c>
      <c r="F18" s="69">
        <v>0</v>
      </c>
      <c r="G18" s="69">
        <v>0</v>
      </c>
      <c r="H18" s="69">
        <v>0</v>
      </c>
      <c r="I18" s="69">
        <v>0</v>
      </c>
      <c r="J18" s="69">
        <v>94.643166431320438</v>
      </c>
      <c r="K18" s="69">
        <v>0</v>
      </c>
      <c r="L18" s="69">
        <v>0</v>
      </c>
      <c r="M18" s="69">
        <v>0</v>
      </c>
      <c r="N18" s="69">
        <v>0</v>
      </c>
      <c r="O18" s="69">
        <v>94.643166431320438</v>
      </c>
      <c r="P18" s="69">
        <v>1.0410243761888689</v>
      </c>
      <c r="Q18" s="69">
        <v>196.05448152681194</v>
      </c>
      <c r="R18" s="69">
        <v>9.235099680792052</v>
      </c>
      <c r="S18" s="69">
        <v>206.33060558379285</v>
      </c>
      <c r="T18" s="66">
        <v>300.9737720151133</v>
      </c>
    </row>
    <row r="19" spans="1:20" ht="14.25" customHeight="1">
      <c r="A19" s="68" t="s">
        <v>88</v>
      </c>
      <c r="B19" s="69">
        <v>182.74938102312029</v>
      </c>
      <c r="C19" s="69">
        <v>177.5345194969386</v>
      </c>
      <c r="D19" s="69">
        <v>179.77128490890638</v>
      </c>
      <c r="E19" s="69">
        <v>540.05518542896527</v>
      </c>
      <c r="F19" s="69">
        <v>101.43654237331938</v>
      </c>
      <c r="G19" s="69">
        <v>91.603901580750858</v>
      </c>
      <c r="H19" s="69">
        <v>178.51276094544747</v>
      </c>
      <c r="I19" s="69">
        <v>371.55320489951771</v>
      </c>
      <c r="J19" s="69">
        <v>911.60839032848298</v>
      </c>
      <c r="K19" s="69">
        <v>119.82818590774322</v>
      </c>
      <c r="L19" s="69">
        <v>103.72349623041733</v>
      </c>
      <c r="M19" s="69">
        <v>121.97830573257215</v>
      </c>
      <c r="N19" s="69">
        <v>345.52998787073267</v>
      </c>
      <c r="O19" s="69">
        <v>1257.1383781992156</v>
      </c>
      <c r="P19" s="69">
        <v>195.88759132573753</v>
      </c>
      <c r="Q19" s="69">
        <v>98.551517550739959</v>
      </c>
      <c r="R19" s="69">
        <v>284.51680522398402</v>
      </c>
      <c r="S19" s="69">
        <v>578.95591410046154</v>
      </c>
      <c r="T19" s="66">
        <v>1836.0942922996771</v>
      </c>
    </row>
    <row r="20" spans="1:20" s="67" customFormat="1" ht="27.75" customHeight="1">
      <c r="A20" s="65" t="s">
        <v>57</v>
      </c>
      <c r="B20" s="66">
        <v>741.45824678762881</v>
      </c>
      <c r="C20" s="66">
        <v>824.05240510917724</v>
      </c>
      <c r="D20" s="66">
        <v>942.00334859253167</v>
      </c>
      <c r="E20" s="66">
        <v>2507.5140004893378</v>
      </c>
      <c r="F20" s="66">
        <v>660.79858775289267</v>
      </c>
      <c r="G20" s="66">
        <v>1177.2321064512494</v>
      </c>
      <c r="H20" s="66">
        <v>1349.943353369915</v>
      </c>
      <c r="I20" s="66">
        <v>3187.9740475740568</v>
      </c>
      <c r="J20" s="66">
        <v>5695.4880480633947</v>
      </c>
      <c r="K20" s="66">
        <v>1219.0741238810404</v>
      </c>
      <c r="L20" s="66">
        <v>17846.833416393165</v>
      </c>
      <c r="M20" s="66">
        <v>765.11868118565394</v>
      </c>
      <c r="N20" s="66">
        <v>19831.026221459855</v>
      </c>
      <c r="O20" s="66">
        <v>25526.514269523253</v>
      </c>
      <c r="P20" s="66">
        <v>901.01908425602437</v>
      </c>
      <c r="Q20" s="66">
        <v>624.71981908106227</v>
      </c>
      <c r="R20" s="66">
        <v>1100.6881823208341</v>
      </c>
      <c r="S20" s="66">
        <v>2626.4270856579205</v>
      </c>
      <c r="T20" s="66">
        <v>28152.941355181178</v>
      </c>
    </row>
    <row r="21" spans="1:20" ht="14.25" customHeight="1">
      <c r="A21" s="68" t="s">
        <v>86</v>
      </c>
      <c r="B21" s="69">
        <v>556.77246104990934</v>
      </c>
      <c r="C21" s="69">
        <v>634.45311489759251</v>
      </c>
      <c r="D21" s="69">
        <v>714.45564900461909</v>
      </c>
      <c r="E21" s="69">
        <v>1905.6812249521211</v>
      </c>
      <c r="F21" s="69">
        <v>561.72381734391604</v>
      </c>
      <c r="G21" s="69">
        <v>1091.196146752352</v>
      </c>
      <c r="H21" s="69">
        <v>1163.5333509787415</v>
      </c>
      <c r="I21" s="69">
        <v>2816.4533150750094</v>
      </c>
      <c r="J21" s="69">
        <v>4722.1345400271302</v>
      </c>
      <c r="K21" s="69">
        <v>1106.1229437787638</v>
      </c>
      <c r="L21" s="69">
        <v>17759.43284106753</v>
      </c>
      <c r="M21" s="69">
        <v>668.44883719639699</v>
      </c>
      <c r="N21" s="69">
        <v>19534.004622042688</v>
      </c>
      <c r="O21" s="69">
        <v>24256.13916206982</v>
      </c>
      <c r="P21" s="69">
        <v>697.22123233828188</v>
      </c>
      <c r="Q21" s="69">
        <v>496.5219293641519</v>
      </c>
      <c r="R21" s="69">
        <v>790.88129908254132</v>
      </c>
      <c r="S21" s="69">
        <v>1984.6244607849751</v>
      </c>
      <c r="T21" s="66">
        <v>26240.763622854796</v>
      </c>
    </row>
    <row r="22" spans="1:20" ht="14.25" customHeight="1">
      <c r="A22" s="68" t="s">
        <v>87</v>
      </c>
      <c r="B22" s="69">
        <v>0</v>
      </c>
      <c r="C22" s="69">
        <v>0</v>
      </c>
      <c r="D22" s="69">
        <v>46.204496067490972</v>
      </c>
      <c r="E22" s="69">
        <v>46.204496067490972</v>
      </c>
      <c r="F22" s="69">
        <v>0</v>
      </c>
      <c r="G22" s="69">
        <v>8.4287654786668558</v>
      </c>
      <c r="H22" s="69">
        <v>0</v>
      </c>
      <c r="I22" s="69">
        <v>8.4287654786668558</v>
      </c>
      <c r="J22" s="69">
        <v>54.633261546157826</v>
      </c>
      <c r="K22" s="69">
        <v>0</v>
      </c>
      <c r="L22" s="69">
        <v>0</v>
      </c>
      <c r="M22" s="69">
        <v>0</v>
      </c>
      <c r="N22" s="69">
        <v>0</v>
      </c>
      <c r="O22" s="69">
        <v>54.633261546157826</v>
      </c>
      <c r="P22" s="69">
        <v>0.7230993542224724</v>
      </c>
      <c r="Q22" s="69">
        <v>49.398554564669986</v>
      </c>
      <c r="R22" s="69">
        <v>0.42587446629053588</v>
      </c>
      <c r="S22" s="69">
        <v>50.547528385182993</v>
      </c>
      <c r="T22" s="66">
        <v>105.18078993134083</v>
      </c>
    </row>
    <row r="23" spans="1:20" ht="14.25" customHeight="1">
      <c r="A23" s="68" t="s">
        <v>88</v>
      </c>
      <c r="B23" s="69">
        <v>184.6857857377195</v>
      </c>
      <c r="C23" s="69">
        <v>189.59929021158473</v>
      </c>
      <c r="D23" s="69">
        <v>181.34320352042164</v>
      </c>
      <c r="E23" s="69">
        <v>555.62827946972584</v>
      </c>
      <c r="F23" s="69">
        <v>99.074770408976676</v>
      </c>
      <c r="G23" s="69">
        <v>77.607194220230539</v>
      </c>
      <c r="H23" s="69">
        <v>186.41000239117346</v>
      </c>
      <c r="I23" s="69">
        <v>363.09196702038071</v>
      </c>
      <c r="J23" s="69">
        <v>918.72024649010655</v>
      </c>
      <c r="K23" s="69">
        <v>112.95118010227664</v>
      </c>
      <c r="L23" s="69">
        <v>87.400575325634506</v>
      </c>
      <c r="M23" s="69">
        <v>96.669843989256947</v>
      </c>
      <c r="N23" s="69">
        <v>297.02159941716809</v>
      </c>
      <c r="O23" s="69">
        <v>1215.7418459072746</v>
      </c>
      <c r="P23" s="69">
        <v>203.07475256352004</v>
      </c>
      <c r="Q23" s="69">
        <v>78.799335152240346</v>
      </c>
      <c r="R23" s="69">
        <v>309.38100877200236</v>
      </c>
      <c r="S23" s="69">
        <v>591.25509648776278</v>
      </c>
      <c r="T23" s="66">
        <v>1806.9969423950374</v>
      </c>
    </row>
    <row r="24" spans="1:20" s="67" customFormat="1" ht="14.25" customHeight="1">
      <c r="A24" s="65" t="s">
        <v>58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</row>
    <row r="25" spans="1:20" s="67" customFormat="1" ht="14.25" customHeight="1">
      <c r="A25" s="65" t="s">
        <v>89</v>
      </c>
      <c r="B25" s="66">
        <v>63.315582598074045</v>
      </c>
      <c r="C25" s="66">
        <v>63.315582598074045</v>
      </c>
      <c r="D25" s="66">
        <v>63.315582598074045</v>
      </c>
      <c r="E25" s="66">
        <v>189.94674779422212</v>
      </c>
      <c r="F25" s="66">
        <v>63.315582598074045</v>
      </c>
      <c r="G25" s="66">
        <v>63.315582598074045</v>
      </c>
      <c r="H25" s="66">
        <v>63.315582598074045</v>
      </c>
      <c r="I25" s="66">
        <v>189.94674779422212</v>
      </c>
      <c r="J25" s="66">
        <v>379.89349558844424</v>
      </c>
      <c r="K25" s="66">
        <v>0</v>
      </c>
      <c r="L25" s="66">
        <v>0</v>
      </c>
      <c r="M25" s="66">
        <v>63.315582598074045</v>
      </c>
      <c r="N25" s="66">
        <v>63.315582598074045</v>
      </c>
      <c r="O25" s="66">
        <v>443.2090781865183</v>
      </c>
      <c r="P25" s="66">
        <v>0</v>
      </c>
      <c r="Q25" s="66">
        <v>0</v>
      </c>
      <c r="R25" s="66">
        <v>0</v>
      </c>
      <c r="S25" s="66">
        <v>0</v>
      </c>
      <c r="T25" s="66">
        <v>443.2090781865183</v>
      </c>
    </row>
    <row r="26" spans="1:20" s="67" customFormat="1" ht="14.25" customHeight="1">
      <c r="A26" s="65" t="s">
        <v>60</v>
      </c>
      <c r="B26" s="66">
        <v>1854.7679194978323</v>
      </c>
      <c r="C26" s="66">
        <v>1603.0104672655846</v>
      </c>
      <c r="D26" s="66">
        <v>1720.6290562103782</v>
      </c>
      <c r="E26" s="66">
        <v>5178.4074429737948</v>
      </c>
      <c r="F26" s="66">
        <v>1852.9755250645744</v>
      </c>
      <c r="G26" s="66">
        <v>1877.6390856633391</v>
      </c>
      <c r="H26" s="66">
        <v>1969.7624121049789</v>
      </c>
      <c r="I26" s="66">
        <v>5700.3770228328931</v>
      </c>
      <c r="J26" s="66">
        <v>10878.78446580669</v>
      </c>
      <c r="K26" s="66">
        <v>1782.7525342616848</v>
      </c>
      <c r="L26" s="66">
        <v>1881.1284336047217</v>
      </c>
      <c r="M26" s="66">
        <v>1758.91706159253</v>
      </c>
      <c r="N26" s="66">
        <v>5422.7980294589361</v>
      </c>
      <c r="O26" s="66">
        <v>16301.582495265624</v>
      </c>
      <c r="P26" s="66">
        <v>1982.7039905323952</v>
      </c>
      <c r="Q26" s="66">
        <v>1930.3831408245881</v>
      </c>
      <c r="R26" s="66">
        <v>1640.4542265422954</v>
      </c>
      <c r="S26" s="66">
        <v>5553.5413578992784</v>
      </c>
      <c r="T26" s="66">
        <v>21855.1238531649</v>
      </c>
    </row>
    <row r="27" spans="1:20" ht="14.25" customHeight="1">
      <c r="A27" s="68" t="s">
        <v>86</v>
      </c>
      <c r="B27" s="69">
        <v>286.22879200389411</v>
      </c>
      <c r="C27" s="69">
        <v>194.04696373232099</v>
      </c>
      <c r="D27" s="69">
        <v>226.8683829789272</v>
      </c>
      <c r="E27" s="69">
        <v>707.14413871514228</v>
      </c>
      <c r="F27" s="69">
        <v>284.46620619046178</v>
      </c>
      <c r="G27" s="69">
        <v>201.29505190589163</v>
      </c>
      <c r="H27" s="69">
        <v>342.75282697659486</v>
      </c>
      <c r="I27" s="69">
        <v>828.51408507294832</v>
      </c>
      <c r="J27" s="69">
        <v>1535.6582237880907</v>
      </c>
      <c r="K27" s="69">
        <v>187.41444701862568</v>
      </c>
      <c r="L27" s="69">
        <v>207.82973618240163</v>
      </c>
      <c r="M27" s="69">
        <v>169.43384797329475</v>
      </c>
      <c r="N27" s="69">
        <v>564.67803117432209</v>
      </c>
      <c r="O27" s="69">
        <v>2100.3362549624126</v>
      </c>
      <c r="P27" s="69">
        <v>314.68862749120541</v>
      </c>
      <c r="Q27" s="69">
        <v>201.10800055372584</v>
      </c>
      <c r="R27" s="69">
        <v>199.93155101908189</v>
      </c>
      <c r="S27" s="69">
        <v>715.72817906401315</v>
      </c>
      <c r="T27" s="66">
        <v>2816.0644340264257</v>
      </c>
    </row>
    <row r="28" spans="1:20" ht="14.25" customHeight="1">
      <c r="A28" s="68" t="s">
        <v>87</v>
      </c>
      <c r="B28" s="69">
        <v>0</v>
      </c>
      <c r="C28" s="69">
        <v>0</v>
      </c>
      <c r="D28" s="69">
        <v>6.8365595189265562</v>
      </c>
      <c r="E28" s="69">
        <v>6.8365595189265562</v>
      </c>
      <c r="F28" s="69">
        <v>0</v>
      </c>
      <c r="G28" s="69">
        <v>0</v>
      </c>
      <c r="H28" s="69">
        <v>0</v>
      </c>
      <c r="I28" s="69">
        <v>0</v>
      </c>
      <c r="J28" s="69">
        <v>6.8365595189265562</v>
      </c>
      <c r="K28" s="69">
        <v>0</v>
      </c>
      <c r="L28" s="69">
        <v>0</v>
      </c>
      <c r="M28" s="69">
        <v>1.4539335804816098</v>
      </c>
      <c r="N28" s="69">
        <v>1.4539335804816098</v>
      </c>
      <c r="O28" s="69">
        <v>8.2904930994081667</v>
      </c>
      <c r="P28" s="69">
        <v>2.0254728231751553</v>
      </c>
      <c r="Q28" s="69">
        <v>11.993928142085618</v>
      </c>
      <c r="R28" s="69">
        <v>1.1058086386761539</v>
      </c>
      <c r="S28" s="69">
        <v>15.125209603936927</v>
      </c>
      <c r="T28" s="66">
        <v>23.415702703345094</v>
      </c>
    </row>
    <row r="29" spans="1:20" ht="14.25" customHeight="1">
      <c r="A29" s="68" t="s">
        <v>90</v>
      </c>
      <c r="B29" s="69">
        <v>1568.5391274939382</v>
      </c>
      <c r="C29" s="69">
        <v>1408.9635035332635</v>
      </c>
      <c r="D29" s="69">
        <v>1486.9241137125243</v>
      </c>
      <c r="E29" s="69">
        <v>4464.426744739726</v>
      </c>
      <c r="F29" s="69">
        <v>1564.8847238917854</v>
      </c>
      <c r="G29" s="69">
        <v>1676.3440337574475</v>
      </c>
      <c r="H29" s="69">
        <v>1627.0095851283841</v>
      </c>
      <c r="I29" s="69">
        <v>4868.2383427776167</v>
      </c>
      <c r="J29" s="69">
        <v>9332.6650875173436</v>
      </c>
      <c r="K29" s="69">
        <v>1595.3380872430591</v>
      </c>
      <c r="L29" s="69">
        <v>1673.2986974223202</v>
      </c>
      <c r="M29" s="69">
        <v>1588.0292800387535</v>
      </c>
      <c r="N29" s="69">
        <v>4856.6660647041326</v>
      </c>
      <c r="O29" s="69">
        <v>14189.331152221475</v>
      </c>
      <c r="P29" s="69">
        <v>1665.9898902180146</v>
      </c>
      <c r="Q29" s="69">
        <v>1673.2986974223202</v>
      </c>
      <c r="R29" s="69">
        <v>1439.4168668845373</v>
      </c>
      <c r="S29" s="69">
        <v>4778.705454524872</v>
      </c>
      <c r="T29" s="66">
        <v>18968.036606746347</v>
      </c>
    </row>
    <row r="30" spans="1:20" ht="14.25" customHeight="1">
      <c r="A30" s="68" t="s">
        <v>88</v>
      </c>
      <c r="B30" s="69">
        <v>0</v>
      </c>
      <c r="C30" s="69">
        <v>0</v>
      </c>
      <c r="D30" s="69">
        <v>0</v>
      </c>
      <c r="E30" s="69">
        <v>0</v>
      </c>
      <c r="F30" s="69">
        <v>3.6245949823273937</v>
      </c>
      <c r="G30" s="69">
        <v>0</v>
      </c>
      <c r="H30" s="69">
        <v>0</v>
      </c>
      <c r="I30" s="69">
        <v>3.6245949823273937</v>
      </c>
      <c r="J30" s="69">
        <v>3.6245949823273937</v>
      </c>
      <c r="K30" s="69">
        <v>0</v>
      </c>
      <c r="L30" s="69">
        <v>0</v>
      </c>
      <c r="M30" s="69">
        <v>0</v>
      </c>
      <c r="N30" s="69">
        <v>0</v>
      </c>
      <c r="O30" s="69">
        <v>3.6245949823273937</v>
      </c>
      <c r="P30" s="69">
        <v>0</v>
      </c>
      <c r="Q30" s="69">
        <v>43.982514706456364</v>
      </c>
      <c r="R30" s="69">
        <v>0</v>
      </c>
      <c r="S30" s="69">
        <v>43.982514706456364</v>
      </c>
      <c r="T30" s="66">
        <v>47.607109688783758</v>
      </c>
    </row>
    <row r="31" spans="1:20" s="67" customFormat="1" ht="26.25" customHeight="1">
      <c r="A31" s="65" t="s">
        <v>18</v>
      </c>
      <c r="B31" s="66">
        <v>5220.9310118213907</v>
      </c>
      <c r="C31" s="66">
        <v>4390.4674091579764</v>
      </c>
      <c r="D31" s="66">
        <v>4945.2702875143987</v>
      </c>
      <c r="E31" s="66">
        <v>14556.668708493766</v>
      </c>
      <c r="F31" s="66">
        <v>4283.0086315196486</v>
      </c>
      <c r="G31" s="66">
        <v>4214.6324016162353</v>
      </c>
      <c r="H31" s="66">
        <v>4208.388671119098</v>
      </c>
      <c r="I31" s="66">
        <v>12706.029704254981</v>
      </c>
      <c r="J31" s="66">
        <v>27262.698412748745</v>
      </c>
      <c r="K31" s="66">
        <v>4158.7710768349143</v>
      </c>
      <c r="L31" s="66">
        <v>4265.5481923965781</v>
      </c>
      <c r="M31" s="66">
        <v>3956.2905564072962</v>
      </c>
      <c r="N31" s="66">
        <v>12380.609825638789</v>
      </c>
      <c r="O31" s="66">
        <v>39643.308238387537</v>
      </c>
      <c r="P31" s="66">
        <v>4109.4077798528961</v>
      </c>
      <c r="Q31" s="66">
        <v>4280.9954879512125</v>
      </c>
      <c r="R31" s="66">
        <v>4970.9098074801141</v>
      </c>
      <c r="S31" s="66">
        <v>13361.313075284223</v>
      </c>
      <c r="T31" s="66">
        <v>53004.621313671756</v>
      </c>
    </row>
    <row r="32" spans="1:20" ht="14.25" customHeight="1">
      <c r="A32" s="68" t="s">
        <v>86</v>
      </c>
      <c r="B32" s="69">
        <v>4510.5697813047063</v>
      </c>
      <c r="C32" s="69">
        <v>3367.8347679379435</v>
      </c>
      <c r="D32" s="69">
        <v>3426.9248282414214</v>
      </c>
      <c r="E32" s="69">
        <v>11305.329377484071</v>
      </c>
      <c r="F32" s="69">
        <v>3421.4758651707157</v>
      </c>
      <c r="G32" s="69">
        <v>3392.6257270450142</v>
      </c>
      <c r="H32" s="69">
        <v>3491.9612332531519</v>
      </c>
      <c r="I32" s="69">
        <v>10306.062825468882</v>
      </c>
      <c r="J32" s="69">
        <v>21611.392202952953</v>
      </c>
      <c r="K32" s="69">
        <v>3583.3470464819488</v>
      </c>
      <c r="L32" s="69">
        <v>3491.0510028218127</v>
      </c>
      <c r="M32" s="69">
        <v>3466.3007076182553</v>
      </c>
      <c r="N32" s="69">
        <v>10540.698756922016</v>
      </c>
      <c r="O32" s="69">
        <v>32152.090959874971</v>
      </c>
      <c r="P32" s="69">
        <v>3480.1280373309482</v>
      </c>
      <c r="Q32" s="69">
        <v>3656.2009367079054</v>
      </c>
      <c r="R32" s="69">
        <v>3711.9976214564426</v>
      </c>
      <c r="S32" s="69">
        <v>10848.326595495295</v>
      </c>
      <c r="T32" s="66">
        <v>43000.417555370266</v>
      </c>
    </row>
    <row r="33" spans="1:20" ht="14.25" customHeight="1">
      <c r="A33" s="68" t="s">
        <v>91</v>
      </c>
      <c r="B33" s="69">
        <v>710.3612305166846</v>
      </c>
      <c r="C33" s="69">
        <v>1022.6326412200324</v>
      </c>
      <c r="D33" s="69">
        <v>1518.3454592729777</v>
      </c>
      <c r="E33" s="69">
        <v>3251.3393310096944</v>
      </c>
      <c r="F33" s="69">
        <v>861.53276634893268</v>
      </c>
      <c r="G33" s="69">
        <v>822.00667457122086</v>
      </c>
      <c r="H33" s="69">
        <v>716.4274378659461</v>
      </c>
      <c r="I33" s="69">
        <v>2399.9668787860996</v>
      </c>
      <c r="J33" s="69">
        <v>5651.3062097957936</v>
      </c>
      <c r="K33" s="69">
        <v>575.42403035296581</v>
      </c>
      <c r="L33" s="69">
        <v>774.497189574765</v>
      </c>
      <c r="M33" s="69">
        <v>489.98984878904105</v>
      </c>
      <c r="N33" s="69">
        <v>1839.9110687167718</v>
      </c>
      <c r="O33" s="69">
        <v>7491.2172785125658</v>
      </c>
      <c r="P33" s="69">
        <v>629.27974252194815</v>
      </c>
      <c r="Q33" s="69">
        <v>624.7945512433073</v>
      </c>
      <c r="R33" s="69">
        <v>1258.9121860236712</v>
      </c>
      <c r="S33" s="69">
        <v>2512.9864797889268</v>
      </c>
      <c r="T33" s="66">
        <v>10004.203758301494</v>
      </c>
    </row>
    <row r="34" spans="1:20" s="67" customFormat="1" ht="14.25" customHeight="1">
      <c r="A34" s="65" t="s">
        <v>92</v>
      </c>
      <c r="B34" s="66">
        <v>0</v>
      </c>
      <c r="C34" s="66">
        <v>0</v>
      </c>
      <c r="D34" s="66">
        <v>49.59</v>
      </c>
      <c r="E34" s="66">
        <v>49.59</v>
      </c>
      <c r="F34" s="66">
        <v>0</v>
      </c>
      <c r="G34" s="66">
        <v>0</v>
      </c>
      <c r="H34" s="66">
        <v>0</v>
      </c>
      <c r="I34" s="66">
        <v>0</v>
      </c>
      <c r="J34" s="66">
        <v>49.59</v>
      </c>
      <c r="K34" s="66">
        <v>0</v>
      </c>
      <c r="L34" s="66">
        <v>0</v>
      </c>
      <c r="M34" s="66">
        <v>1517.28</v>
      </c>
      <c r="N34" s="66">
        <v>1517.28</v>
      </c>
      <c r="O34" s="66">
        <v>1566.87</v>
      </c>
      <c r="P34" s="66">
        <v>758.98</v>
      </c>
      <c r="Q34" s="66">
        <v>566.32000000000005</v>
      </c>
      <c r="R34" s="66">
        <v>6635.25</v>
      </c>
      <c r="S34" s="66">
        <v>7960.5499999999993</v>
      </c>
      <c r="T34" s="66">
        <v>9527.4199999999983</v>
      </c>
    </row>
    <row r="35" spans="1:20" s="67" customFormat="1" ht="14.25" customHeight="1">
      <c r="A35" s="65" t="s">
        <v>62</v>
      </c>
      <c r="B35" s="66">
        <v>18019.114471639339</v>
      </c>
      <c r="C35" s="66">
        <v>14067.96922527159</v>
      </c>
      <c r="D35" s="66">
        <v>16741.994873618441</v>
      </c>
      <c r="E35" s="66">
        <v>48829.078570529367</v>
      </c>
      <c r="F35" s="66">
        <v>14421.415741021716</v>
      </c>
      <c r="G35" s="66">
        <v>14695.132652435488</v>
      </c>
      <c r="H35" s="66">
        <v>15388.864381356896</v>
      </c>
      <c r="I35" s="66">
        <v>44505.412774814104</v>
      </c>
      <c r="J35" s="66">
        <v>93334.491345343471</v>
      </c>
      <c r="K35" s="66">
        <v>14397.364307648251</v>
      </c>
      <c r="L35" s="66">
        <v>31024.07334068009</v>
      </c>
      <c r="M35" s="66">
        <v>18276.393030496798</v>
      </c>
      <c r="N35" s="66">
        <v>63697.830678825136</v>
      </c>
      <c r="O35" s="66">
        <v>157032.32202416859</v>
      </c>
      <c r="P35" s="66">
        <v>15310.530782508466</v>
      </c>
      <c r="Q35" s="66">
        <v>15183.700984447751</v>
      </c>
      <c r="R35" s="66">
        <v>22512.787752421085</v>
      </c>
      <c r="S35" s="66">
        <v>53007.019519377296</v>
      </c>
      <c r="T35" s="66">
        <v>210039.34154354589</v>
      </c>
    </row>
    <row r="36" spans="1:20" ht="14.25" customHeight="1">
      <c r="A36" s="68" t="s">
        <v>63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5946.5854592727164</v>
      </c>
      <c r="S36" s="69">
        <v>5946.5854592727164</v>
      </c>
      <c r="T36" s="66">
        <v>5946.5854592727164</v>
      </c>
    </row>
    <row r="37" spans="1:20" s="67" customFormat="1" ht="14.25" customHeight="1">
      <c r="A37" s="65" t="s">
        <v>64</v>
      </c>
      <c r="B37" s="66">
        <v>18019.114471639339</v>
      </c>
      <c r="C37" s="66">
        <v>14067.96922527159</v>
      </c>
      <c r="D37" s="66">
        <v>16741.994873618441</v>
      </c>
      <c r="E37" s="66">
        <v>48829.078570529367</v>
      </c>
      <c r="F37" s="66">
        <v>14421.415741021716</v>
      </c>
      <c r="G37" s="66">
        <v>14695.132652435488</v>
      </c>
      <c r="H37" s="66">
        <v>15388.864381356896</v>
      </c>
      <c r="I37" s="66">
        <v>44505.412774814104</v>
      </c>
      <c r="J37" s="66">
        <v>93334.491345343471</v>
      </c>
      <c r="K37" s="66">
        <v>14397.364307648251</v>
      </c>
      <c r="L37" s="66">
        <v>31024.07334068009</v>
      </c>
      <c r="M37" s="66">
        <v>18276.393030496798</v>
      </c>
      <c r="N37" s="66">
        <v>63697.830678825136</v>
      </c>
      <c r="O37" s="66">
        <v>157032.32202416859</v>
      </c>
      <c r="P37" s="66">
        <v>15310.530782508466</v>
      </c>
      <c r="Q37" s="66">
        <v>15183.700984447751</v>
      </c>
      <c r="R37" s="66">
        <v>28459.373211693801</v>
      </c>
      <c r="S37" s="66">
        <v>58953.604978650015</v>
      </c>
      <c r="T37" s="66">
        <v>215985.92700281861</v>
      </c>
    </row>
    <row r="38" spans="1:20" ht="19.5" customHeight="1">
      <c r="T38" s="70">
        <f>T37-'Фабричная дом № 7'!D32</f>
        <v>0</v>
      </c>
    </row>
  </sheetData>
  <mergeCells count="2">
    <mergeCell ref="A1:T1"/>
    <mergeCell ref="A2:T2"/>
  </mergeCells>
  <pageMargins left="0.16" right="0.16" top="0.97" bottom="0.74803149606299213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F40" sqref="F40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.75">
      <c r="A2" s="184" t="s">
        <v>112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939.1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7" t="s">
        <v>17</v>
      </c>
    </row>
    <row r="6" spans="1:15" ht="18" customHeight="1">
      <c r="A6" s="8" t="s">
        <v>18</v>
      </c>
      <c r="B6" s="9">
        <f>B7+B10</f>
        <v>5220.9310118213907</v>
      </c>
      <c r="C6" s="10">
        <f t="shared" ref="C6:N6" si="0">C7+C10</f>
        <v>4390.4674091579764</v>
      </c>
      <c r="D6" s="10">
        <f t="shared" si="0"/>
        <v>4945.2702875143987</v>
      </c>
      <c r="E6" s="10">
        <f t="shared" si="0"/>
        <v>4283.0086315196486</v>
      </c>
      <c r="F6" s="10">
        <f t="shared" si="0"/>
        <v>4214.6324016162353</v>
      </c>
      <c r="G6" s="10">
        <f t="shared" si="0"/>
        <v>4208.388671119098</v>
      </c>
      <c r="H6" s="10">
        <f t="shared" si="0"/>
        <v>4158.7710768349152</v>
      </c>
      <c r="I6" s="10">
        <f t="shared" si="0"/>
        <v>4265.5481923965781</v>
      </c>
      <c r="J6" s="10">
        <f t="shared" si="0"/>
        <v>3956.2905564072962</v>
      </c>
      <c r="K6" s="10">
        <f t="shared" si="0"/>
        <v>4109.4077798528961</v>
      </c>
      <c r="L6" s="10">
        <f t="shared" si="0"/>
        <v>4280.9954879512134</v>
      </c>
      <c r="M6" s="76">
        <f t="shared" si="0"/>
        <v>4970.9098074801141</v>
      </c>
      <c r="N6" s="11">
        <f t="shared" si="0"/>
        <v>53004.621313671756</v>
      </c>
      <c r="O6" s="77">
        <f>O7+O10</f>
        <v>4.7034945971028783</v>
      </c>
    </row>
    <row r="7" spans="1:15">
      <c r="A7" s="18" t="s">
        <v>19</v>
      </c>
      <c r="B7" s="19">
        <v>4510.5697813047063</v>
      </c>
      <c r="C7" s="12">
        <v>3367.8347679379435</v>
      </c>
      <c r="D7" s="12">
        <v>3426.9248282414214</v>
      </c>
      <c r="E7" s="12">
        <v>3421.4758651707157</v>
      </c>
      <c r="F7" s="12">
        <v>3392.6257270450142</v>
      </c>
      <c r="G7" s="12">
        <v>3491.9612332531519</v>
      </c>
      <c r="H7" s="12">
        <v>3583.3470464819488</v>
      </c>
      <c r="I7" s="12">
        <v>3491.0510028218127</v>
      </c>
      <c r="J7" s="12">
        <v>3466.3007076182553</v>
      </c>
      <c r="K7" s="12">
        <v>3480.1280373309482</v>
      </c>
      <c r="L7" s="12">
        <v>3656.2009367079054</v>
      </c>
      <c r="M7" s="78">
        <v>3711.9976214564426</v>
      </c>
      <c r="N7" s="13">
        <f t="shared" ref="N7:N9" si="1">SUM(B7:M7)</f>
        <v>43000.417555370266</v>
      </c>
      <c r="O7" s="79">
        <f>N7/12/$B$4</f>
        <v>3.8157471298202417</v>
      </c>
    </row>
    <row r="8" spans="1:15" hidden="1">
      <c r="A8" s="14" t="s">
        <v>20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80"/>
      <c r="N8" s="17">
        <f t="shared" si="1"/>
        <v>0</v>
      </c>
      <c r="O8" s="81">
        <f>N8/12/$B$4</f>
        <v>0</v>
      </c>
    </row>
    <row r="9" spans="1:15" hidden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80"/>
      <c r="N9" s="17">
        <f t="shared" si="1"/>
        <v>0</v>
      </c>
      <c r="O9" s="81">
        <f>N9/12/$B$4</f>
        <v>0</v>
      </c>
    </row>
    <row r="10" spans="1:15">
      <c r="A10" s="18" t="s">
        <v>22</v>
      </c>
      <c r="B10" s="19">
        <f t="shared" ref="B10:O10" si="2">SUM(B11:B34)</f>
        <v>710.3612305166846</v>
      </c>
      <c r="C10" s="12">
        <f t="shared" si="2"/>
        <v>1022.6326412200324</v>
      </c>
      <c r="D10" s="12">
        <f t="shared" si="2"/>
        <v>1518.3454592729777</v>
      </c>
      <c r="E10" s="12">
        <f t="shared" si="2"/>
        <v>861.53276634893268</v>
      </c>
      <c r="F10" s="12">
        <f t="shared" si="2"/>
        <v>822.00667457122108</v>
      </c>
      <c r="G10" s="12">
        <f t="shared" si="2"/>
        <v>716.4274378659461</v>
      </c>
      <c r="H10" s="12">
        <f t="shared" si="2"/>
        <v>575.42403035296593</v>
      </c>
      <c r="I10" s="12">
        <f t="shared" si="2"/>
        <v>774.497189574765</v>
      </c>
      <c r="J10" s="12">
        <f t="shared" si="2"/>
        <v>489.98984878904099</v>
      </c>
      <c r="K10" s="12">
        <f t="shared" si="2"/>
        <v>629.27974252194815</v>
      </c>
      <c r="L10" s="12">
        <f t="shared" si="2"/>
        <v>624.79455124330752</v>
      </c>
      <c r="M10" s="78">
        <f t="shared" si="2"/>
        <v>1258.9121860236712</v>
      </c>
      <c r="N10" s="13">
        <f t="shared" si="2"/>
        <v>10004.20375830149</v>
      </c>
      <c r="O10" s="79">
        <f t="shared" si="2"/>
        <v>0.88774746728263709</v>
      </c>
    </row>
    <row r="11" spans="1:15">
      <c r="A11" s="20" t="s">
        <v>23</v>
      </c>
      <c r="B11" s="21">
        <v>42.234313160460374</v>
      </c>
      <c r="C11" s="22">
        <v>37.079401889831708</v>
      </c>
      <c r="D11" s="22">
        <v>43.489815524112871</v>
      </c>
      <c r="E11" s="22">
        <v>40.735942455054186</v>
      </c>
      <c r="F11" s="22">
        <v>36.902882066398583</v>
      </c>
      <c r="G11" s="22">
        <v>40.701334740251177</v>
      </c>
      <c r="H11" s="22">
        <v>35.57284000932421</v>
      </c>
      <c r="I11" s="22">
        <v>35.265875722402818</v>
      </c>
      <c r="J11" s="22">
        <v>36.588136163130947</v>
      </c>
      <c r="K11" s="22">
        <v>31.160458761628828</v>
      </c>
      <c r="L11" s="22">
        <v>32.58285631797041</v>
      </c>
      <c r="M11" s="82">
        <v>43.62292211950907</v>
      </c>
      <c r="N11" s="17">
        <f>SUM(B11:M11)</f>
        <v>455.93677893007521</v>
      </c>
      <c r="O11" s="83">
        <f t="shared" ref="O11:O34" si="3">N11/12/$B$4</f>
        <v>4.0458664229055759E-2</v>
      </c>
    </row>
    <row r="12" spans="1:15">
      <c r="A12" s="20" t="s">
        <v>24</v>
      </c>
      <c r="B12" s="21">
        <v>140.27387360984545</v>
      </c>
      <c r="C12" s="22">
        <v>140.27387360984545</v>
      </c>
      <c r="D12" s="22">
        <v>140.27387360984545</v>
      </c>
      <c r="E12" s="22">
        <v>140.27387360984545</v>
      </c>
      <c r="F12" s="22">
        <v>140.27387360984545</v>
      </c>
      <c r="G12" s="22">
        <v>140.27387360984545</v>
      </c>
      <c r="H12" s="22">
        <v>140.27387360984545</v>
      </c>
      <c r="I12" s="22">
        <v>140.27387360984545</v>
      </c>
      <c r="J12" s="22">
        <v>140.27387360984545</v>
      </c>
      <c r="K12" s="22">
        <v>140.27387360984545</v>
      </c>
      <c r="L12" s="22">
        <v>140.27387360984545</v>
      </c>
      <c r="M12" s="82">
        <v>140.27387360984545</v>
      </c>
      <c r="N12" s="17">
        <f t="shared" ref="N12:N32" si="4">SUM(B12:M12)</f>
        <v>1683.286483318145</v>
      </c>
      <c r="O12" s="83">
        <f t="shared" si="3"/>
        <v>0.14937053946315135</v>
      </c>
    </row>
    <row r="13" spans="1:15">
      <c r="A13" s="20" t="s">
        <v>25</v>
      </c>
      <c r="B13" s="21">
        <v>97.151227509648564</v>
      </c>
      <c r="C13" s="22">
        <v>98.219356742858736</v>
      </c>
      <c r="D13" s="22">
        <v>99.410558381965998</v>
      </c>
      <c r="E13" s="22">
        <v>100.60176002107323</v>
      </c>
      <c r="F13" s="22">
        <v>101.81364437731129</v>
      </c>
      <c r="G13" s="22">
        <v>103.02552873354935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82">
        <v>0</v>
      </c>
      <c r="N13" s="17">
        <f t="shared" si="4"/>
        <v>600.2220757664071</v>
      </c>
      <c r="O13" s="83">
        <f t="shared" si="3"/>
        <v>5.3262172626841929E-2</v>
      </c>
    </row>
    <row r="14" spans="1:15">
      <c r="A14" s="20" t="s">
        <v>26</v>
      </c>
      <c r="B14" s="21">
        <v>108.81361783950888</v>
      </c>
      <c r="C14" s="22">
        <v>110.76106971984412</v>
      </c>
      <c r="D14" s="22">
        <v>110.53929365397627</v>
      </c>
      <c r="E14" s="22">
        <v>121.29512567949966</v>
      </c>
      <c r="F14" s="22">
        <v>115.44826489218826</v>
      </c>
      <c r="G14" s="22">
        <v>120.24419791400226</v>
      </c>
      <c r="H14" s="22">
        <v>104.74362771104803</v>
      </c>
      <c r="I14" s="22">
        <v>108.50132928877163</v>
      </c>
      <c r="J14" s="22">
        <v>114.77351684321827</v>
      </c>
      <c r="K14" s="22">
        <v>98.729871731047552</v>
      </c>
      <c r="L14" s="22">
        <v>92.83652602503625</v>
      </c>
      <c r="M14" s="82">
        <v>100.3912468209697</v>
      </c>
      <c r="N14" s="17">
        <f t="shared" si="4"/>
        <v>1307.0776881191109</v>
      </c>
      <c r="O14" s="83">
        <f t="shared" si="3"/>
        <v>0.11598673269789435</v>
      </c>
    </row>
    <row r="15" spans="1:15">
      <c r="A15" s="20" t="s">
        <v>27</v>
      </c>
      <c r="B15" s="21">
        <v>0</v>
      </c>
      <c r="C15" s="22">
        <v>0</v>
      </c>
      <c r="D15" s="22">
        <v>0</v>
      </c>
      <c r="E15" s="22">
        <v>32.150362272621514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82">
        <v>0</v>
      </c>
      <c r="N15" s="17">
        <f t="shared" si="4"/>
        <v>32.150362272621514</v>
      </c>
      <c r="O15" s="83">
        <f t="shared" si="3"/>
        <v>2.8529409605492413E-3</v>
      </c>
    </row>
    <row r="16" spans="1:15">
      <c r="A16" s="20" t="s">
        <v>116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82">
        <v>0</v>
      </c>
      <c r="N16" s="17">
        <f t="shared" si="4"/>
        <v>0</v>
      </c>
      <c r="O16" s="83">
        <f t="shared" si="3"/>
        <v>0</v>
      </c>
    </row>
    <row r="17" spans="1:15">
      <c r="A17" s="20" t="s">
        <v>28</v>
      </c>
      <c r="B17" s="21">
        <v>0</v>
      </c>
      <c r="C17" s="22">
        <v>0</v>
      </c>
      <c r="D17" s="22">
        <v>20.477937753262111</v>
      </c>
      <c r="E17" s="22">
        <v>20.477937753262111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82">
        <v>0</v>
      </c>
      <c r="N17" s="17">
        <f t="shared" si="4"/>
        <v>40.955875506524222</v>
      </c>
      <c r="O17" s="83">
        <f t="shared" si="3"/>
        <v>3.6343196949671871E-3</v>
      </c>
    </row>
    <row r="18" spans="1:15">
      <c r="A18" s="20" t="s">
        <v>29</v>
      </c>
      <c r="B18" s="21">
        <v>0</v>
      </c>
      <c r="C18" s="22">
        <v>2.1501834640925215</v>
      </c>
      <c r="D18" s="22">
        <v>0</v>
      </c>
      <c r="E18" s="22">
        <v>0</v>
      </c>
      <c r="F18" s="22">
        <v>2.1501834640925215</v>
      </c>
      <c r="G18" s="22">
        <v>0</v>
      </c>
      <c r="H18" s="22">
        <v>0</v>
      </c>
      <c r="I18" s="22">
        <v>2.1501834640925215</v>
      </c>
      <c r="J18" s="22">
        <v>0</v>
      </c>
      <c r="K18" s="22">
        <v>0</v>
      </c>
      <c r="L18" s="22">
        <v>2.1501834640925215</v>
      </c>
      <c r="M18" s="82">
        <v>0</v>
      </c>
      <c r="N18" s="17">
        <f t="shared" si="4"/>
        <v>8.6007338563700859</v>
      </c>
      <c r="O18" s="83">
        <f t="shared" si="3"/>
        <v>7.632071359431091E-4</v>
      </c>
    </row>
    <row r="19" spans="1:15">
      <c r="A19" s="20" t="s">
        <v>30</v>
      </c>
      <c r="B19" s="21">
        <v>70.822742940279468</v>
      </c>
      <c r="C19" s="22">
        <v>70.822742940279468</v>
      </c>
      <c r="D19" s="22">
        <v>70.822742940279468</v>
      </c>
      <c r="E19" s="22">
        <v>70.822742940279468</v>
      </c>
      <c r="F19" s="22">
        <v>70.822742940279468</v>
      </c>
      <c r="G19" s="22">
        <v>70.822742940279468</v>
      </c>
      <c r="H19" s="22">
        <v>70.822742940279468</v>
      </c>
      <c r="I19" s="22">
        <v>70.822742940279468</v>
      </c>
      <c r="J19" s="22">
        <v>0</v>
      </c>
      <c r="K19" s="22">
        <v>0</v>
      </c>
      <c r="L19" s="22">
        <v>0</v>
      </c>
      <c r="M19" s="82">
        <v>0</v>
      </c>
      <c r="N19" s="17">
        <f t="shared" si="4"/>
        <v>566.58194352223575</v>
      </c>
      <c r="O19" s="83">
        <f t="shared" si="3"/>
        <v>5.0277033287388258E-2</v>
      </c>
    </row>
    <row r="20" spans="1:15">
      <c r="A20" s="20" t="s">
        <v>31</v>
      </c>
      <c r="B20" s="21">
        <v>0</v>
      </c>
      <c r="C20" s="22">
        <v>204.77937753262111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82">
        <v>0</v>
      </c>
      <c r="N20" s="17">
        <f t="shared" si="4"/>
        <v>204.77937753262111</v>
      </c>
      <c r="O20" s="83">
        <f t="shared" si="3"/>
        <v>1.8171598474835935E-2</v>
      </c>
    </row>
    <row r="21" spans="1:15">
      <c r="A21" s="20" t="s">
        <v>32</v>
      </c>
      <c r="B21" s="21">
        <v>46.075359944839747</v>
      </c>
      <c r="C21" s="22">
        <v>0</v>
      </c>
      <c r="D21" s="22">
        <v>0</v>
      </c>
      <c r="E21" s="22">
        <v>73.720575911743595</v>
      </c>
      <c r="F21" s="22">
        <v>21.501834640925217</v>
      </c>
      <c r="G21" s="22">
        <v>10.238968876631056</v>
      </c>
      <c r="H21" s="22">
        <v>8.1911751013048431</v>
      </c>
      <c r="I21" s="22">
        <v>10.238968876631056</v>
      </c>
      <c r="J21" s="22">
        <v>0</v>
      </c>
      <c r="K21" s="22">
        <v>14.334556427283477</v>
      </c>
      <c r="L21" s="22">
        <v>14.334556427283477</v>
      </c>
      <c r="M21" s="82">
        <v>0</v>
      </c>
      <c r="N21" s="17">
        <f t="shared" si="4"/>
        <v>198.63599620664246</v>
      </c>
      <c r="O21" s="83">
        <f t="shared" si="3"/>
        <v>1.7626450520590854E-2</v>
      </c>
    </row>
    <row r="22" spans="1:15">
      <c r="A22" s="23" t="s">
        <v>117</v>
      </c>
      <c r="B22" s="21">
        <v>112.32578894357087</v>
      </c>
      <c r="C22" s="22">
        <v>90.392893712939482</v>
      </c>
      <c r="D22" s="22">
        <v>74.122148271085067</v>
      </c>
      <c r="E22" s="22">
        <v>66.426334484031642</v>
      </c>
      <c r="F22" s="22">
        <v>66.426334484031642</v>
      </c>
      <c r="G22" s="22">
        <v>3.2066402727833139</v>
      </c>
      <c r="H22" s="22">
        <v>0</v>
      </c>
      <c r="I22" s="22">
        <v>0</v>
      </c>
      <c r="J22" s="22">
        <v>0</v>
      </c>
      <c r="K22" s="22">
        <v>75.624000225909313</v>
      </c>
      <c r="L22" s="22">
        <v>67.426681743278493</v>
      </c>
      <c r="M22" s="82">
        <v>74.160442014683667</v>
      </c>
      <c r="N22" s="17">
        <f t="shared" si="4"/>
        <v>630.11126415231342</v>
      </c>
      <c r="O22" s="83">
        <f t="shared" si="3"/>
        <v>5.5914462797032036E-2</v>
      </c>
    </row>
    <row r="23" spans="1:15">
      <c r="A23" s="20" t="s">
        <v>33</v>
      </c>
      <c r="B23" s="21">
        <v>0</v>
      </c>
      <c r="C23" s="22">
        <v>0</v>
      </c>
      <c r="D23" s="22">
        <v>7.0263900018992951</v>
      </c>
      <c r="E23" s="22">
        <v>0</v>
      </c>
      <c r="F23" s="22">
        <v>0</v>
      </c>
      <c r="G23" s="22">
        <v>7.0263900018992951</v>
      </c>
      <c r="H23" s="22">
        <v>0</v>
      </c>
      <c r="I23" s="22">
        <v>0</v>
      </c>
      <c r="J23" s="22">
        <v>6.0338243589986806</v>
      </c>
      <c r="K23" s="22">
        <v>0</v>
      </c>
      <c r="L23" s="22">
        <v>0</v>
      </c>
      <c r="M23" s="82">
        <v>10.954058462974967</v>
      </c>
      <c r="N23" s="17">
        <f t="shared" si="4"/>
        <v>31.040662825772237</v>
      </c>
      <c r="O23" s="83">
        <f t="shared" si="3"/>
        <v>2.7544690684141054E-3</v>
      </c>
    </row>
    <row r="24" spans="1:15">
      <c r="A24" s="20" t="s">
        <v>34</v>
      </c>
      <c r="B24" s="21">
        <v>53.453151358585032</v>
      </c>
      <c r="C24" s="22">
        <v>53.918676317529929</v>
      </c>
      <c r="D24" s="22">
        <v>52.786553528840841</v>
      </c>
      <c r="E24" s="22">
        <v>25.762597237495452</v>
      </c>
      <c r="F24" s="22">
        <v>20.127902000187714</v>
      </c>
      <c r="G24" s="22">
        <v>53.495773317724399</v>
      </c>
      <c r="H24" s="22">
        <v>29.257771653222232</v>
      </c>
      <c r="I24" s="22">
        <v>22.500830356280357</v>
      </c>
      <c r="J24" s="22">
        <v>25.022094530399741</v>
      </c>
      <c r="K24" s="22">
        <v>56.919744083251892</v>
      </c>
      <c r="L24" s="22">
        <v>19.317222311280634</v>
      </c>
      <c r="M24" s="82">
        <v>90.346429272177346</v>
      </c>
      <c r="N24" s="17">
        <f t="shared" si="4"/>
        <v>502.90874596697552</v>
      </c>
      <c r="O24" s="83">
        <f t="shared" si="3"/>
        <v>4.4626836507203303E-2</v>
      </c>
    </row>
    <row r="25" spans="1:15">
      <c r="A25" s="20" t="s">
        <v>35</v>
      </c>
      <c r="B25" s="21">
        <v>0</v>
      </c>
      <c r="C25" s="22">
        <v>162.67161802747592</v>
      </c>
      <c r="D25" s="22">
        <v>162.67161802747592</v>
      </c>
      <c r="E25" s="22">
        <v>162.67161802747592</v>
      </c>
      <c r="F25" s="22">
        <v>162.67161802747592</v>
      </c>
      <c r="G25" s="22">
        <v>162.67161802747592</v>
      </c>
      <c r="H25" s="22">
        <v>79.29856137635467</v>
      </c>
      <c r="I25" s="22">
        <v>148.77610858562238</v>
      </c>
      <c r="J25" s="22">
        <v>148.77610858562238</v>
      </c>
      <c r="K25" s="22">
        <v>148.77610858562238</v>
      </c>
      <c r="L25" s="22">
        <v>148.77610858562238</v>
      </c>
      <c r="M25" s="82">
        <v>148.77610858562238</v>
      </c>
      <c r="N25" s="17">
        <f t="shared" si="4"/>
        <v>1636.5371944418457</v>
      </c>
      <c r="O25" s="83">
        <f t="shared" si="3"/>
        <v>0.14522212707573259</v>
      </c>
    </row>
    <row r="26" spans="1:15">
      <c r="A26" s="20" t="s">
        <v>118</v>
      </c>
      <c r="B26" s="21">
        <v>0</v>
      </c>
      <c r="C26" s="22">
        <v>40.955875506524222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184.30143977935899</v>
      </c>
      <c r="J26" s="22">
        <v>0</v>
      </c>
      <c r="K26" s="22">
        <v>0</v>
      </c>
      <c r="L26" s="22">
        <v>0</v>
      </c>
      <c r="M26" s="82">
        <v>24.573525303914533</v>
      </c>
      <c r="N26" s="17">
        <f t="shared" si="4"/>
        <v>249.83084058979773</v>
      </c>
      <c r="O26" s="83">
        <f t="shared" si="3"/>
        <v>2.2169350139299836E-2</v>
      </c>
    </row>
    <row r="27" spans="1:15">
      <c r="A27" s="20" t="s">
        <v>119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83.959544788374657</v>
      </c>
      <c r="I27" s="22">
        <v>0</v>
      </c>
      <c r="J27" s="22">
        <v>0</v>
      </c>
      <c r="K27" s="22">
        <v>0</v>
      </c>
      <c r="L27" s="22">
        <v>0</v>
      </c>
      <c r="M27" s="82">
        <v>0</v>
      </c>
      <c r="N27" s="17">
        <f t="shared" si="4"/>
        <v>83.959544788374657</v>
      </c>
      <c r="O27" s="83">
        <f t="shared" si="3"/>
        <v>7.4503553746827333E-3</v>
      </c>
    </row>
    <row r="28" spans="1:15">
      <c r="A28" s="20" t="s">
        <v>120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30.716906629893163</v>
      </c>
      <c r="J28" s="22">
        <v>0</v>
      </c>
      <c r="K28" s="22">
        <v>0</v>
      </c>
      <c r="L28" s="22">
        <v>0</v>
      </c>
      <c r="M28" s="82">
        <v>0</v>
      </c>
      <c r="N28" s="17">
        <f t="shared" si="4"/>
        <v>30.716906629893163</v>
      </c>
      <c r="O28" s="83">
        <f t="shared" si="3"/>
        <v>2.7257397712253896E-3</v>
      </c>
    </row>
    <row r="29" spans="1:15">
      <c r="A29" s="20" t="s">
        <v>36</v>
      </c>
      <c r="B29" s="21">
        <v>0</v>
      </c>
      <c r="C29" s="22">
        <v>9.7474983705527656</v>
      </c>
      <c r="D29" s="22">
        <v>8.2730868523178938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82">
        <v>0</v>
      </c>
      <c r="N29" s="17">
        <f t="shared" si="4"/>
        <v>18.020585222870658</v>
      </c>
      <c r="O29" s="83">
        <f t="shared" si="3"/>
        <v>1.5991006657855621E-3</v>
      </c>
    </row>
    <row r="30" spans="1:15">
      <c r="A30" s="20" t="s">
        <v>37</v>
      </c>
      <c r="B30" s="21">
        <v>0</v>
      </c>
      <c r="C30" s="22">
        <v>0</v>
      </c>
      <c r="D30" s="22">
        <v>0.70853664626286905</v>
      </c>
      <c r="E30" s="22">
        <v>4.6382529011138685</v>
      </c>
      <c r="F30" s="22">
        <v>1.0648527631696298</v>
      </c>
      <c r="G30" s="22">
        <v>0</v>
      </c>
      <c r="H30" s="22">
        <v>4.6689698077437614</v>
      </c>
      <c r="I30" s="22">
        <v>1.4948894559881341</v>
      </c>
      <c r="J30" s="22">
        <v>1.5870401758778137</v>
      </c>
      <c r="K30" s="22">
        <v>0.38908081731198013</v>
      </c>
      <c r="L30" s="22">
        <v>8.1911751013048442E-2</v>
      </c>
      <c r="M30" s="82">
        <v>1.5665622381245514</v>
      </c>
      <c r="N30" s="17">
        <f t="shared" si="4"/>
        <v>16.200096556605658</v>
      </c>
      <c r="O30" s="83">
        <f t="shared" si="3"/>
        <v>1.4375551553442709E-3</v>
      </c>
    </row>
    <row r="31" spans="1:15">
      <c r="A31" s="20" t="s">
        <v>38</v>
      </c>
      <c r="B31" s="21">
        <v>39.211155209946291</v>
      </c>
      <c r="C31" s="22">
        <v>0.86007338563700864</v>
      </c>
      <c r="D31" s="22">
        <v>113.40477148379024</v>
      </c>
      <c r="E31" s="22">
        <v>1.9556430554365318</v>
      </c>
      <c r="F31" s="22">
        <v>82.802541305315344</v>
      </c>
      <c r="G31" s="22">
        <v>4.7203694315044489</v>
      </c>
      <c r="H31" s="22">
        <v>18.634923355468519</v>
      </c>
      <c r="I31" s="22">
        <v>19.454040865599005</v>
      </c>
      <c r="J31" s="22">
        <v>16.935254521947765</v>
      </c>
      <c r="K31" s="22">
        <v>63.072048280047298</v>
      </c>
      <c r="L31" s="22">
        <v>107.01463100788482</v>
      </c>
      <c r="M31" s="82">
        <v>462.99593363237966</v>
      </c>
      <c r="N31" s="17">
        <f t="shared" si="4"/>
        <v>931.0613855349568</v>
      </c>
      <c r="O31" s="83">
        <f t="shared" si="3"/>
        <v>8.262000723520363E-2</v>
      </c>
    </row>
    <row r="32" spans="1:15">
      <c r="A32" s="20" t="s">
        <v>121</v>
      </c>
      <c r="B32" s="21">
        <v>0</v>
      </c>
      <c r="C32" s="22">
        <v>0</v>
      </c>
      <c r="D32" s="22">
        <v>614.33813259786336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82">
        <v>0</v>
      </c>
      <c r="N32" s="17">
        <f t="shared" si="4"/>
        <v>614.33813259786336</v>
      </c>
      <c r="O32" s="83">
        <f t="shared" si="3"/>
        <v>5.4514795424507802E-2</v>
      </c>
    </row>
    <row r="33" spans="1:15">
      <c r="A33" s="20" t="s">
        <v>39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82">
        <v>28.829680364490279</v>
      </c>
      <c r="N33" s="17">
        <f>SUM(B33:M33)</f>
        <v>28.829680364490279</v>
      </c>
      <c r="O33" s="83">
        <f t="shared" si="3"/>
        <v>2.5582721368411494E-3</v>
      </c>
    </row>
    <row r="34" spans="1:15" ht="13.5" thickBot="1">
      <c r="A34" s="24" t="s">
        <v>40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84">
        <v>132.42140359897957</v>
      </c>
      <c r="N34" s="27">
        <f t="shared" ref="N34" si="5">SUM(B34:M34)</f>
        <v>132.42140359897957</v>
      </c>
      <c r="O34" s="85">
        <f t="shared" si="3"/>
        <v>1.1750736840146556E-2</v>
      </c>
    </row>
    <row r="35" spans="1:15">
      <c r="N35" s="28">
        <f>N6-'Фабричная дом № 7'!D28</f>
        <v>0</v>
      </c>
      <c r="O35" s="29">
        <f>O6-'Фабричная дом № 7'!E28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3" sqref="P33"/>
    </sheetView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>
      <selection activeCell="B43" sqref="B43:M43"/>
    </sheetView>
  </sheetViews>
  <sheetFormatPr defaultRowHeight="12.75"/>
  <cols>
    <col min="1" max="1" width="39.5703125" style="120" customWidth="1"/>
    <col min="2" max="2" width="9.7109375" style="120" customWidth="1"/>
    <col min="3" max="3" width="9.85546875" style="120" customWidth="1"/>
    <col min="4" max="4" width="11.42578125" style="120" customWidth="1"/>
    <col min="5" max="5" width="9.85546875" style="120" customWidth="1"/>
    <col min="6" max="6" width="9.5703125" style="120" customWidth="1"/>
    <col min="7" max="8" width="9.140625" style="120" customWidth="1"/>
    <col min="9" max="9" width="9.85546875" style="120" customWidth="1"/>
    <col min="10" max="12" width="9.140625" style="120" customWidth="1"/>
    <col min="13" max="13" width="10.5703125" style="120" customWidth="1"/>
    <col min="14" max="14" width="11.140625" style="120" customWidth="1"/>
    <col min="15" max="16384" width="9.140625" style="120"/>
  </cols>
  <sheetData>
    <row r="1" spans="1:14" ht="21" customHeight="1">
      <c r="A1" s="191" t="s">
        <v>219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20.25" customHeight="1">
      <c r="A2" s="192" t="s">
        <v>220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3.5" customHeight="1">
      <c r="A3" s="187" t="s">
        <v>221</v>
      </c>
      <c r="B3" s="188" t="s">
        <v>222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 t="s">
        <v>223</v>
      </c>
    </row>
    <row r="4" spans="1:14" ht="13.5" customHeight="1">
      <c r="A4" s="187"/>
      <c r="B4" s="121" t="s">
        <v>4</v>
      </c>
      <c r="C4" s="121" t="s">
        <v>5</v>
      </c>
      <c r="D4" s="121" t="s">
        <v>6</v>
      </c>
      <c r="E4" s="121" t="s">
        <v>7</v>
      </c>
      <c r="F4" s="121" t="s">
        <v>8</v>
      </c>
      <c r="G4" s="121" t="s">
        <v>9</v>
      </c>
      <c r="H4" s="121" t="s">
        <v>10</v>
      </c>
      <c r="I4" s="121" t="s">
        <v>11</v>
      </c>
      <c r="J4" s="121" t="s">
        <v>12</v>
      </c>
      <c r="K4" s="121" t="s">
        <v>13</v>
      </c>
      <c r="L4" s="121" t="s">
        <v>14</v>
      </c>
      <c r="M4" s="121" t="s">
        <v>15</v>
      </c>
      <c r="N4" s="189"/>
    </row>
    <row r="5" spans="1:14" ht="13.5" customHeight="1">
      <c r="A5" s="122" t="s">
        <v>224</v>
      </c>
      <c r="B5" s="123">
        <f>17.87+5.168</f>
        <v>23.038</v>
      </c>
      <c r="C5" s="123">
        <f>17.87+4.746</f>
        <v>22.616</v>
      </c>
      <c r="D5" s="123">
        <v>23.2</v>
      </c>
      <c r="E5" s="123">
        <v>22.75</v>
      </c>
      <c r="F5" s="123">
        <v>23.45</v>
      </c>
      <c r="G5" s="123">
        <f>17.87+0.617</f>
        <v>18.487000000000002</v>
      </c>
      <c r="H5" s="123">
        <f>2.568+17.87</f>
        <v>20.438000000000002</v>
      </c>
      <c r="I5" s="123">
        <f>17.87+4.026</f>
        <v>21.896000000000001</v>
      </c>
      <c r="J5" s="123">
        <f>17.87+17.571</f>
        <v>35.441000000000003</v>
      </c>
      <c r="K5" s="123">
        <f>17.869+4.531</f>
        <v>22.4</v>
      </c>
      <c r="L5" s="124">
        <f>17.87+4.471</f>
        <v>22.341000000000001</v>
      </c>
      <c r="M5" s="124">
        <f>17.87+4.097</f>
        <v>21.967000000000002</v>
      </c>
      <c r="N5" s="125">
        <f t="shared" ref="N5" si="0">SUM(B5:M5)</f>
        <v>278.024</v>
      </c>
    </row>
    <row r="6" spans="1:14">
      <c r="A6" s="186" t="s">
        <v>225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>
      <c r="A7" s="187" t="s">
        <v>221</v>
      </c>
      <c r="B7" s="188" t="s">
        <v>222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 t="s">
        <v>226</v>
      </c>
    </row>
    <row r="8" spans="1:14">
      <c r="A8" s="187"/>
      <c r="B8" s="121" t="s">
        <v>4</v>
      </c>
      <c r="C8" s="121" t="s">
        <v>5</v>
      </c>
      <c r="D8" s="121" t="s">
        <v>6</v>
      </c>
      <c r="E8" s="121" t="s">
        <v>7</v>
      </c>
      <c r="F8" s="121" t="s">
        <v>8</v>
      </c>
      <c r="G8" s="121" t="s">
        <v>9</v>
      </c>
      <c r="H8" s="121" t="s">
        <v>10</v>
      </c>
      <c r="I8" s="121" t="s">
        <v>11</v>
      </c>
      <c r="J8" s="121" t="s">
        <v>12</v>
      </c>
      <c r="K8" s="121" t="s">
        <v>13</v>
      </c>
      <c r="L8" s="121" t="s">
        <v>14</v>
      </c>
      <c r="M8" s="121" t="s">
        <v>15</v>
      </c>
      <c r="N8" s="189"/>
    </row>
    <row r="9" spans="1:14">
      <c r="A9" s="122" t="s">
        <v>224</v>
      </c>
      <c r="B9" s="123">
        <f>17.87+3.991</f>
        <v>21.861000000000001</v>
      </c>
      <c r="C9" s="123">
        <f>17.87+4.417</f>
        <v>22.286999999999999</v>
      </c>
      <c r="D9" s="123">
        <f>17.869+4.44</f>
        <v>22.309000000000001</v>
      </c>
      <c r="E9" s="123">
        <f>17.87+4.24</f>
        <v>22.11</v>
      </c>
      <c r="F9" s="123">
        <f>17.87+4.095</f>
        <v>21.965</v>
      </c>
      <c r="G9" s="123">
        <f>17.87+2.134</f>
        <v>20.004000000000001</v>
      </c>
      <c r="H9" s="123">
        <f>17.88+5.496</f>
        <v>23.375999999999998</v>
      </c>
      <c r="I9" s="123">
        <f>17.88+3.808</f>
        <v>21.687999999999999</v>
      </c>
      <c r="J9" s="123">
        <f>17.878+5.47</f>
        <v>23.347999999999999</v>
      </c>
      <c r="K9" s="123">
        <f>17.878+4.061</f>
        <v>21.939</v>
      </c>
      <c r="L9" s="124">
        <f>17.878+4.73</f>
        <v>22.608000000000001</v>
      </c>
      <c r="M9" s="124">
        <f>17.878+4.78</f>
        <v>22.658000000000001</v>
      </c>
      <c r="N9" s="125">
        <f t="shared" ref="N9" si="1">SUM(B9:M9)</f>
        <v>266.15299999999996</v>
      </c>
    </row>
    <row r="10" spans="1:14">
      <c r="A10" s="186" t="s">
        <v>227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>
      <c r="A11" s="187" t="s">
        <v>221</v>
      </c>
      <c r="B11" s="188" t="s">
        <v>222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 t="s">
        <v>228</v>
      </c>
    </row>
    <row r="12" spans="1:14">
      <c r="A12" s="187"/>
      <c r="B12" s="121" t="s">
        <v>4</v>
      </c>
      <c r="C12" s="121" t="s">
        <v>5</v>
      </c>
      <c r="D12" s="121" t="s">
        <v>6</v>
      </c>
      <c r="E12" s="121" t="s">
        <v>7</v>
      </c>
      <c r="F12" s="121" t="s">
        <v>8</v>
      </c>
      <c r="G12" s="121" t="s">
        <v>9</v>
      </c>
      <c r="H12" s="121" t="s">
        <v>10</v>
      </c>
      <c r="I12" s="121" t="s">
        <v>11</v>
      </c>
      <c r="J12" s="121" t="s">
        <v>12</v>
      </c>
      <c r="K12" s="121" t="s">
        <v>13</v>
      </c>
      <c r="L12" s="121" t="s">
        <v>14</v>
      </c>
      <c r="M12" s="121" t="s">
        <v>15</v>
      </c>
      <c r="N12" s="189"/>
    </row>
    <row r="13" spans="1:14">
      <c r="A13" s="122" t="s">
        <v>224</v>
      </c>
      <c r="B13" s="123">
        <f>17.878+5.048</f>
        <v>22.926000000000002</v>
      </c>
      <c r="C13" s="123">
        <f>17.878+4.785</f>
        <v>22.663</v>
      </c>
      <c r="D13" s="123">
        <f>17.878+5.523</f>
        <v>23.401</v>
      </c>
      <c r="E13" s="123">
        <f>17.878+4.973</f>
        <v>22.850999999999999</v>
      </c>
      <c r="F13" s="123">
        <f>17.878+1.623</f>
        <v>19.501000000000001</v>
      </c>
      <c r="G13" s="123">
        <f>17.878+2.497</f>
        <v>20.375</v>
      </c>
      <c r="H13" s="123">
        <f>17.881+3.698</f>
        <v>21.579000000000001</v>
      </c>
      <c r="I13" s="123">
        <f>17.881+3.698</f>
        <v>21.579000000000001</v>
      </c>
      <c r="J13" s="123">
        <f>17.881+4.149</f>
        <v>22.03</v>
      </c>
      <c r="K13" s="123">
        <f>17.881+4.149</f>
        <v>22.03</v>
      </c>
      <c r="L13" s="124">
        <f>17.881+4.749</f>
        <v>22.63</v>
      </c>
      <c r="M13" s="124">
        <f>17.87+4.249</f>
        <v>22.119</v>
      </c>
      <c r="N13" s="125">
        <f t="shared" ref="N13" si="2">SUM(B13:M13)</f>
        <v>263.68399999999997</v>
      </c>
    </row>
    <row r="14" spans="1:14">
      <c r="A14" s="186" t="s">
        <v>229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>
      <c r="A15" s="187" t="s">
        <v>221</v>
      </c>
      <c r="B15" s="188" t="s">
        <v>222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 t="s">
        <v>230</v>
      </c>
    </row>
    <row r="16" spans="1:14">
      <c r="A16" s="187"/>
      <c r="B16" s="121" t="s">
        <v>4</v>
      </c>
      <c r="C16" s="121" t="s">
        <v>5</v>
      </c>
      <c r="D16" s="121" t="s">
        <v>6</v>
      </c>
      <c r="E16" s="121" t="s">
        <v>7</v>
      </c>
      <c r="F16" s="121" t="s">
        <v>8</v>
      </c>
      <c r="G16" s="121" t="s">
        <v>9</v>
      </c>
      <c r="H16" s="121" t="s">
        <v>10</v>
      </c>
      <c r="I16" s="121" t="s">
        <v>11</v>
      </c>
      <c r="J16" s="121" t="s">
        <v>12</v>
      </c>
      <c r="K16" s="121" t="s">
        <v>13</v>
      </c>
      <c r="L16" s="121" t="s">
        <v>14</v>
      </c>
      <c r="M16" s="121" t="s">
        <v>15</v>
      </c>
      <c r="N16" s="189"/>
    </row>
    <row r="17" spans="1:14" ht="15">
      <c r="A17" s="122" t="s">
        <v>224</v>
      </c>
      <c r="B17" s="123">
        <v>23.030999999999999</v>
      </c>
      <c r="C17" s="123">
        <v>22.03</v>
      </c>
      <c r="D17" s="123">
        <v>20.679000000000002</v>
      </c>
      <c r="E17" s="123">
        <v>21.679000000000002</v>
      </c>
      <c r="F17" s="123">
        <f>17.881+3.798</f>
        <v>21.679000000000002</v>
      </c>
      <c r="G17" s="123">
        <f>17.881+3.609</f>
        <v>21.490000000000002</v>
      </c>
      <c r="H17" s="123">
        <f>17.88+3.318</f>
        <v>21.198</v>
      </c>
      <c r="I17" s="123">
        <v>21.623999999999999</v>
      </c>
      <c r="J17" s="123">
        <v>22.029</v>
      </c>
      <c r="K17" s="126">
        <f>17.88+2.083</f>
        <v>19.963000000000001</v>
      </c>
      <c r="L17" s="124">
        <f>17.54+4.402</f>
        <v>21.942</v>
      </c>
      <c r="M17" s="124">
        <f>19.978+4.057</f>
        <v>24.035000000000004</v>
      </c>
      <c r="N17" s="125">
        <f t="shared" ref="N17" si="3">SUM(B17:M17)</f>
        <v>261.37900000000002</v>
      </c>
    </row>
    <row r="18" spans="1:14" ht="16.5" customHeight="1">
      <c r="A18" s="186" t="s">
        <v>110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19" spans="1:14" ht="13.5" customHeight="1">
      <c r="A19" s="187" t="s">
        <v>221</v>
      </c>
      <c r="B19" s="188" t="s">
        <v>231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 t="s">
        <v>232</v>
      </c>
    </row>
    <row r="20" spans="1:14" ht="13.5" customHeight="1">
      <c r="A20" s="187"/>
      <c r="B20" s="121" t="s">
        <v>4</v>
      </c>
      <c r="C20" s="121" t="s">
        <v>5</v>
      </c>
      <c r="D20" s="121" t="s">
        <v>6</v>
      </c>
      <c r="E20" s="121" t="s">
        <v>7</v>
      </c>
      <c r="F20" s="121" t="s">
        <v>8</v>
      </c>
      <c r="G20" s="121" t="s">
        <v>9</v>
      </c>
      <c r="H20" s="121" t="s">
        <v>10</v>
      </c>
      <c r="I20" s="121" t="s">
        <v>11</v>
      </c>
      <c r="J20" s="121" t="s">
        <v>12</v>
      </c>
      <c r="K20" s="121" t="s">
        <v>13</v>
      </c>
      <c r="L20" s="121" t="s">
        <v>14</v>
      </c>
      <c r="M20" s="121" t="s">
        <v>15</v>
      </c>
      <c r="N20" s="189"/>
    </row>
    <row r="21" spans="1:14" ht="13.5" customHeight="1">
      <c r="A21" s="122" t="s">
        <v>224</v>
      </c>
      <c r="B21" s="124">
        <v>30.834</v>
      </c>
      <c r="C21" s="124">
        <v>31.134</v>
      </c>
      <c r="D21" s="124">
        <v>32.68</v>
      </c>
      <c r="E21" s="124">
        <v>30.972999999999999</v>
      </c>
      <c r="F21" s="124">
        <v>31.676439783888728</v>
      </c>
      <c r="G21" s="124">
        <v>3.8636340413574652</v>
      </c>
      <c r="H21" s="124">
        <v>4.2180911002427948</v>
      </c>
      <c r="I21" s="124">
        <v>4.9975030780029224</v>
      </c>
      <c r="J21" s="124">
        <v>32.958610928924017</v>
      </c>
      <c r="K21" s="124">
        <v>30.452621768096929</v>
      </c>
      <c r="L21" s="124">
        <v>32.576000000000001</v>
      </c>
      <c r="M21" s="124">
        <v>31.254000000000001</v>
      </c>
      <c r="N21" s="125">
        <f>SUM(B21:M21)</f>
        <v>297.61790070051285</v>
      </c>
    </row>
    <row r="22" spans="1:14">
      <c r="M22" s="127"/>
    </row>
    <row r="23" spans="1:14">
      <c r="A23" s="191" t="s">
        <v>233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>
      <c r="A24" s="192" t="s">
        <v>220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>
      <c r="A25" s="187" t="s">
        <v>221</v>
      </c>
      <c r="B25" s="188" t="s">
        <v>234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90" t="s">
        <v>223</v>
      </c>
    </row>
    <row r="26" spans="1:14">
      <c r="A26" s="187"/>
      <c r="B26" s="121" t="s">
        <v>4</v>
      </c>
      <c r="C26" s="121" t="s">
        <v>5</v>
      </c>
      <c r="D26" s="121" t="s">
        <v>6</v>
      </c>
      <c r="E26" s="121" t="s">
        <v>7</v>
      </c>
      <c r="F26" s="121" t="s">
        <v>8</v>
      </c>
      <c r="G26" s="121" t="s">
        <v>9</v>
      </c>
      <c r="H26" s="121" t="s">
        <v>10</v>
      </c>
      <c r="I26" s="121" t="s">
        <v>11</v>
      </c>
      <c r="J26" s="121" t="s">
        <v>12</v>
      </c>
      <c r="K26" s="121" t="s">
        <v>13</v>
      </c>
      <c r="L26" s="121" t="s">
        <v>14</v>
      </c>
      <c r="M26" s="121" t="s">
        <v>15</v>
      </c>
      <c r="N26" s="190"/>
    </row>
    <row r="27" spans="1:14">
      <c r="A27" s="122" t="s">
        <v>224</v>
      </c>
      <c r="B27" s="128">
        <v>238</v>
      </c>
      <c r="C27" s="128">
        <v>260</v>
      </c>
      <c r="D27" s="128">
        <v>279</v>
      </c>
      <c r="E27" s="128">
        <v>291</v>
      </c>
      <c r="F27" s="128">
        <v>308</v>
      </c>
      <c r="G27" s="128">
        <v>138</v>
      </c>
      <c r="H27" s="128">
        <v>125</v>
      </c>
      <c r="I27" s="128">
        <v>214</v>
      </c>
      <c r="J27" s="128">
        <v>216</v>
      </c>
      <c r="K27" s="128">
        <v>242</v>
      </c>
      <c r="L27" s="129">
        <v>365</v>
      </c>
      <c r="M27" s="129">
        <v>266</v>
      </c>
      <c r="N27" s="130">
        <f t="shared" ref="N27" si="4">SUM(B27:M27)</f>
        <v>2942</v>
      </c>
    </row>
    <row r="28" spans="1:14">
      <c r="A28" s="186" t="s">
        <v>225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</row>
    <row r="29" spans="1:14">
      <c r="A29" s="187" t="s">
        <v>221</v>
      </c>
      <c r="B29" s="188" t="s">
        <v>234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90" t="s">
        <v>226</v>
      </c>
    </row>
    <row r="30" spans="1:14">
      <c r="A30" s="187"/>
      <c r="B30" s="121" t="s">
        <v>4</v>
      </c>
      <c r="C30" s="121" t="s">
        <v>5</v>
      </c>
      <c r="D30" s="121" t="s">
        <v>6</v>
      </c>
      <c r="E30" s="121" t="s">
        <v>7</v>
      </c>
      <c r="F30" s="121" t="s">
        <v>8</v>
      </c>
      <c r="G30" s="121" t="s">
        <v>9</v>
      </c>
      <c r="H30" s="121" t="s">
        <v>10</v>
      </c>
      <c r="I30" s="121" t="s">
        <v>11</v>
      </c>
      <c r="J30" s="121" t="s">
        <v>12</v>
      </c>
      <c r="K30" s="121" t="s">
        <v>13</v>
      </c>
      <c r="L30" s="121" t="s">
        <v>14</v>
      </c>
      <c r="M30" s="121" t="s">
        <v>15</v>
      </c>
      <c r="N30" s="190"/>
    </row>
    <row r="31" spans="1:14">
      <c r="A31" s="122" t="s">
        <v>224</v>
      </c>
      <c r="B31" s="129">
        <v>292</v>
      </c>
      <c r="C31" s="129">
        <v>361</v>
      </c>
      <c r="D31" s="129">
        <v>258</v>
      </c>
      <c r="E31" s="129">
        <v>332</v>
      </c>
      <c r="F31" s="129">
        <v>306</v>
      </c>
      <c r="G31" s="129">
        <v>291</v>
      </c>
      <c r="H31" s="129">
        <v>318</v>
      </c>
      <c r="I31" s="129">
        <v>277</v>
      </c>
      <c r="J31" s="129">
        <v>270</v>
      </c>
      <c r="K31" s="129">
        <v>260</v>
      </c>
      <c r="L31" s="129">
        <v>187</v>
      </c>
      <c r="M31" s="129">
        <v>191</v>
      </c>
      <c r="N31" s="130">
        <f t="shared" ref="N31" si="5">SUM(B31:M31)</f>
        <v>3343</v>
      </c>
    </row>
    <row r="32" spans="1:14">
      <c r="A32" s="186" t="s">
        <v>227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1:14">
      <c r="A33" s="187" t="s">
        <v>221</v>
      </c>
      <c r="B33" s="188" t="s">
        <v>234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 t="s">
        <v>228</v>
      </c>
    </row>
    <row r="34" spans="1:14">
      <c r="A34" s="187"/>
      <c r="B34" s="121" t="s">
        <v>4</v>
      </c>
      <c r="C34" s="121" t="s">
        <v>5</v>
      </c>
      <c r="D34" s="121" t="s">
        <v>6</v>
      </c>
      <c r="E34" s="121" t="s">
        <v>7</v>
      </c>
      <c r="F34" s="121" t="s">
        <v>8</v>
      </c>
      <c r="G34" s="121" t="s">
        <v>9</v>
      </c>
      <c r="H34" s="121" t="s">
        <v>10</v>
      </c>
      <c r="I34" s="121" t="s">
        <v>11</v>
      </c>
      <c r="J34" s="121" t="s">
        <v>12</v>
      </c>
      <c r="K34" s="121" t="s">
        <v>13</v>
      </c>
      <c r="L34" s="121" t="s">
        <v>14</v>
      </c>
      <c r="M34" s="121" t="s">
        <v>15</v>
      </c>
      <c r="N34" s="189"/>
    </row>
    <row r="35" spans="1:14">
      <c r="A35" s="122" t="s">
        <v>224</v>
      </c>
      <c r="B35" s="129">
        <v>204</v>
      </c>
      <c r="C35" s="129">
        <v>219</v>
      </c>
      <c r="D35" s="129">
        <v>222</v>
      </c>
      <c r="E35" s="129">
        <v>217</v>
      </c>
      <c r="F35" s="129">
        <v>195</v>
      </c>
      <c r="G35" s="129">
        <v>244</v>
      </c>
      <c r="H35" s="129">
        <v>252</v>
      </c>
      <c r="I35" s="129">
        <v>307</v>
      </c>
      <c r="J35" s="129">
        <v>264</v>
      </c>
      <c r="K35" s="129">
        <v>328</v>
      </c>
      <c r="L35" s="129">
        <v>312</v>
      </c>
      <c r="M35" s="129">
        <v>214</v>
      </c>
      <c r="N35" s="130">
        <f t="shared" ref="N35" si="6">SUM(B35:M35)</f>
        <v>2978</v>
      </c>
    </row>
    <row r="36" spans="1:14">
      <c r="A36" s="186" t="s">
        <v>229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</row>
    <row r="37" spans="1:14">
      <c r="A37" s="187" t="s">
        <v>221</v>
      </c>
      <c r="B37" s="188" t="s">
        <v>234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 t="s">
        <v>230</v>
      </c>
    </row>
    <row r="38" spans="1:14">
      <c r="A38" s="187"/>
      <c r="B38" s="121" t="s">
        <v>4</v>
      </c>
      <c r="C38" s="121" t="s">
        <v>5</v>
      </c>
      <c r="D38" s="121" t="s">
        <v>6</v>
      </c>
      <c r="E38" s="121" t="s">
        <v>7</v>
      </c>
      <c r="F38" s="121" t="s">
        <v>8</v>
      </c>
      <c r="G38" s="121" t="s">
        <v>9</v>
      </c>
      <c r="H38" s="121" t="s">
        <v>10</v>
      </c>
      <c r="I38" s="121" t="s">
        <v>11</v>
      </c>
      <c r="J38" s="121" t="s">
        <v>12</v>
      </c>
      <c r="K38" s="121" t="s">
        <v>13</v>
      </c>
      <c r="L38" s="121" t="s">
        <v>14</v>
      </c>
      <c r="M38" s="121" t="s">
        <v>15</v>
      </c>
      <c r="N38" s="189"/>
    </row>
    <row r="39" spans="1:14">
      <c r="A39" s="122" t="s">
        <v>224</v>
      </c>
      <c r="B39" s="129">
        <v>239</v>
      </c>
      <c r="C39" s="129">
        <v>229</v>
      </c>
      <c r="D39" s="129">
        <v>181</v>
      </c>
      <c r="E39" s="129">
        <v>189</v>
      </c>
      <c r="F39" s="128">
        <v>203</v>
      </c>
      <c r="G39" s="128">
        <v>232</v>
      </c>
      <c r="H39" s="128">
        <v>211</v>
      </c>
      <c r="I39" s="129">
        <v>225</v>
      </c>
      <c r="J39" s="129">
        <v>219</v>
      </c>
      <c r="K39" s="129">
        <v>188</v>
      </c>
      <c r="L39" s="129">
        <v>212</v>
      </c>
      <c r="M39" s="129">
        <v>192</v>
      </c>
      <c r="N39" s="130">
        <f t="shared" ref="N39" si="7">SUM(B39:M39)</f>
        <v>2520</v>
      </c>
    </row>
    <row r="40" spans="1:14">
      <c r="A40" s="186" t="s">
        <v>110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>
      <c r="A41" s="187" t="s">
        <v>221</v>
      </c>
      <c r="B41" s="188" t="s">
        <v>235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 t="s">
        <v>232</v>
      </c>
    </row>
    <row r="42" spans="1:14">
      <c r="A42" s="187"/>
      <c r="B42" s="121" t="s">
        <v>4</v>
      </c>
      <c r="C42" s="121" t="s">
        <v>5</v>
      </c>
      <c r="D42" s="121" t="s">
        <v>6</v>
      </c>
      <c r="E42" s="121" t="s">
        <v>7</v>
      </c>
      <c r="F42" s="121" t="s">
        <v>8</v>
      </c>
      <c r="G42" s="121" t="s">
        <v>9</v>
      </c>
      <c r="H42" s="121" t="s">
        <v>10</v>
      </c>
      <c r="I42" s="121" t="s">
        <v>11</v>
      </c>
      <c r="J42" s="121" t="s">
        <v>12</v>
      </c>
      <c r="K42" s="121" t="s">
        <v>13</v>
      </c>
      <c r="L42" s="121" t="s">
        <v>14</v>
      </c>
      <c r="M42" s="121" t="s">
        <v>15</v>
      </c>
      <c r="N42" s="189"/>
    </row>
    <row r="43" spans="1:14">
      <c r="A43" s="122" t="s">
        <v>224</v>
      </c>
      <c r="B43" s="129">
        <v>206</v>
      </c>
      <c r="C43" s="129">
        <v>200</v>
      </c>
      <c r="D43" s="129">
        <v>172</v>
      </c>
      <c r="E43" s="129">
        <v>215</v>
      </c>
      <c r="F43" s="129">
        <v>208</v>
      </c>
      <c r="G43" s="129">
        <v>169</v>
      </c>
      <c r="H43" s="129">
        <v>176</v>
      </c>
      <c r="I43" s="129">
        <v>227</v>
      </c>
      <c r="J43" s="129">
        <v>224</v>
      </c>
      <c r="K43" s="129">
        <v>215</v>
      </c>
      <c r="L43" s="129">
        <v>207</v>
      </c>
      <c r="M43" s="129">
        <v>202</v>
      </c>
      <c r="N43" s="130">
        <f>SUM(B43:M43)</f>
        <v>2421</v>
      </c>
    </row>
    <row r="44" spans="1:14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  <row r="45" spans="1:14">
      <c r="A45" s="185" t="s">
        <v>236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</row>
  </sheetData>
  <mergeCells count="43">
    <mergeCell ref="A6:N6"/>
    <mergeCell ref="A1:N1"/>
    <mergeCell ref="A2:N2"/>
    <mergeCell ref="A3:A4"/>
    <mergeCell ref="B3:M3"/>
    <mergeCell ref="N3:N4"/>
    <mergeCell ref="A7:A8"/>
    <mergeCell ref="B7:M7"/>
    <mergeCell ref="N7:N8"/>
    <mergeCell ref="A10:N10"/>
    <mergeCell ref="A11:A12"/>
    <mergeCell ref="B11:M11"/>
    <mergeCell ref="N11:N12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23:N23"/>
    <mergeCell ref="A24:N24"/>
    <mergeCell ref="A25:A26"/>
    <mergeCell ref="B25:M25"/>
    <mergeCell ref="N25:N26"/>
    <mergeCell ref="A29:A30"/>
    <mergeCell ref="B29:M29"/>
    <mergeCell ref="N29:N30"/>
    <mergeCell ref="A32:N32"/>
    <mergeCell ref="A33:A34"/>
    <mergeCell ref="B33:M33"/>
    <mergeCell ref="N33:N34"/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</mergeCells>
  <pageMargins left="0.19685039370078741" right="0.15748031496062992" top="1.1299999999999999" bottom="0.19685039370078741" header="0.31496062992125984" footer="0.15748031496062992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Фабричная дом № 7</vt:lpstr>
      <vt:lpstr>ремонт Фабричная 7</vt:lpstr>
      <vt:lpstr>статьи Фаб 7</vt:lpstr>
      <vt:lpstr>упр Фабр 7</vt:lpstr>
      <vt:lpstr>снятие за недопоставку услуг</vt:lpstr>
      <vt:lpstr>ресурсы дом № 7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2016-03-09T11:31:29Z</cp:lastPrinted>
  <dcterms:created xsi:type="dcterms:W3CDTF">2015-03-21T20:41:42Z</dcterms:created>
  <dcterms:modified xsi:type="dcterms:W3CDTF">2016-03-10T11:04:11Z</dcterms:modified>
</cp:coreProperties>
</file>